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Business case" sheetId="3" state="visible" r:id="rId3"/>
    <sheet xmlns:r="http://schemas.openxmlformats.org/officeDocument/2006/relationships" name="Sensitivity" sheetId="4" state="visible" r:id="rId4"/>
    <sheet xmlns:r="http://schemas.openxmlformats.org/officeDocument/2006/relationships" name="Test design" sheetId="5" state="visible" r:id="rId5"/>
    <sheet xmlns:r="http://schemas.openxmlformats.org/officeDocument/2006/relationships" name="Test readout" sheetId="6" state="visible" r:id="rId6"/>
    <sheet xmlns:r="http://schemas.openxmlformats.org/officeDocument/2006/relationships" name="Value of test" sheetId="7" state="visible" r:id="rId7"/>
    <sheet xmlns:r="http://schemas.openxmlformats.org/officeDocument/2006/relationships" name="Bridge" sheetId="8" state="visible" r:id="rId8"/>
    <sheet xmlns:r="http://schemas.openxmlformats.org/officeDocument/2006/relationships" name="Segments" sheetId="9" state="visible" r:id="rId9"/>
    <sheet xmlns:r="http://schemas.openxmlformats.org/officeDocument/2006/relationships" name="P&amp;L" sheetId="10" state="visible" r:id="rId10"/>
    <sheet xmlns:r="http://schemas.openxmlformats.org/officeDocument/2006/relationships" name="Inputs" sheetId="11" state="visible" r:id="rId11"/>
    <sheet xmlns:r="http://schemas.openxmlformats.org/officeDocument/2006/relationships" name="Reconciliation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0.0%"/>
    <numFmt numFmtId="165" formatCode="&quot;$&quot;#,##0;-&quot;$&quot;#,##0;&quot;-&quot;"/>
    <numFmt numFmtId="166" formatCode="#,##0.0"/>
    <numFmt numFmtId="167" formatCode="0.0000"/>
    <numFmt numFmtId="168" formatCode="0.000%"/>
    <numFmt numFmtId="169" formatCode="0.000"/>
    <numFmt numFmtId="170" formatCode="0.00000"/>
    <numFmt numFmtId="171" formatCode="0.000000"/>
    <numFmt numFmtId="172" formatCode="0.0E+00"/>
  </numFmts>
  <fonts count="15">
    <font>
      <name val="Calibri"/>
      <family val="2"/>
      <color theme="1"/>
      <sz val="11"/>
      <scheme val="minor"/>
    </font>
    <font>
      <name val="Arial"/>
      <b val="1"/>
      <color rgb="001B2430"/>
      <sz val="14"/>
    </font>
    <font>
      <name val="Arial"/>
      <i val="1"/>
      <color rgb="005F6B7A"/>
      <sz val="10"/>
    </font>
    <font>
      <name val="Arial"/>
      <b val="1"/>
      <color rgb="00FFFFFF"/>
      <sz val="10"/>
    </font>
    <font>
      <name val="Arial"/>
      <color rgb="001B2430"/>
      <sz val="10"/>
    </font>
    <font>
      <name val="Arial"/>
      <color rgb="000000FF"/>
      <sz val="10"/>
    </font>
    <font>
      <name val="Arial"/>
      <b val="1"/>
      <color rgb="001B2430"/>
      <sz val="10"/>
    </font>
    <font>
      <name val="Arial"/>
      <color rgb="00008000"/>
      <sz val="10"/>
    </font>
    <font>
      <name val="Arial"/>
      <b val="1"/>
      <color rgb="001B2430"/>
      <sz val="11"/>
    </font>
    <font>
      <name val="Arial"/>
      <b val="1"/>
      <color rgb="00008000"/>
      <sz val="10"/>
    </font>
    <font>
      <name val="Arial"/>
      <b val="1"/>
      <color rgb="001B2430"/>
      <sz val="12"/>
    </font>
    <font>
      <name val="Arial"/>
      <b val="1"/>
      <color rgb="001B2430"/>
      <sz val="18"/>
    </font>
    <font>
      <name val="Arial"/>
      <color rgb="005F6B7A"/>
      <sz val="12"/>
    </font>
    <font>
      <name val="Arial"/>
      <color rgb="001F5FA8"/>
      <sz val="10"/>
    </font>
    <font>
      <name val="Arial"/>
      <color rgb="005F6B7A"/>
      <sz val="10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8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4" fillId="3" borderId="0" pivotButton="0" quotePrefix="0" xfId="0"/>
    <xf numFmtId="0" fontId="13" fillId="0" borderId="0" pivotButton="0" quotePrefix="0" xfId="0"/>
    <xf numFmtId="0" fontId="9" fillId="0" borderId="0" pivotButton="0" quotePrefix="0" xfId="0"/>
    <xf numFmtId="0" fontId="4" fillId="0" borderId="0" applyAlignment="1" pivotButton="0" quotePrefix="0" xfId="0">
      <alignment vertical="top" wrapText="1"/>
    </xf>
    <xf numFmtId="0" fontId="14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3" fontId="7" fillId="0" borderId="0" pivotButton="0" quotePrefix="0" xfId="0"/>
    <xf numFmtId="165" fontId="7" fillId="0" borderId="0" pivotButton="0" quotePrefix="0" xfId="0"/>
    <xf numFmtId="168" fontId="7" fillId="0" borderId="0" pivotButton="0" quotePrefix="0" xfId="0"/>
    <xf numFmtId="10" fontId="7" fillId="0" borderId="0" pivotButton="0" quotePrefix="0" xfId="0"/>
    <xf numFmtId="3" fontId="6" fillId="0" borderId="0" pivotButton="0" quotePrefix="0" xfId="0"/>
    <xf numFmtId="166" fontId="6" fillId="0" borderId="0" pivotButton="0" quotePrefix="0" xfId="0"/>
    <xf numFmtId="165" fontId="6" fillId="0" borderId="0" pivotButton="0" quotePrefix="0" xfId="0"/>
    <xf numFmtId="0" fontId="3" fillId="2" borderId="0" applyAlignment="1" pivotButton="0" quotePrefix="0" xfId="0">
      <alignment vertical="center" wrapText="1"/>
    </xf>
    <xf numFmtId="4" fontId="4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168" fontId="6" fillId="3" borderId="0" pivotButton="0" quotePrefix="0" xfId="0"/>
    <xf numFmtId="0" fontId="5" fillId="3" borderId="0" pivotButton="0" quotePrefix="0" xfId="0"/>
    <xf numFmtId="3" fontId="4" fillId="0" borderId="0" pivotButton="0" quotePrefix="0" xfId="0"/>
    <xf numFmtId="166" fontId="4" fillId="0" borderId="0" pivotButton="0" quotePrefix="0" xfId="0"/>
    <xf numFmtId="165" fontId="9" fillId="0" borderId="0" pivotButton="0" quotePrefix="0" xfId="0"/>
    <xf numFmtId="168" fontId="4" fillId="0" borderId="0" pivotButton="0" quotePrefix="0" xfId="0"/>
    <xf numFmtId="169" fontId="4" fillId="0" borderId="0" pivotButton="0" quotePrefix="0" xfId="0"/>
    <xf numFmtId="3" fontId="5" fillId="0" borderId="0" pivotButton="0" quotePrefix="0" xfId="0"/>
    <xf numFmtId="170" fontId="4" fillId="0" borderId="0" pivotButton="0" quotePrefix="0" xfId="0"/>
    <xf numFmtId="10" fontId="4" fillId="0" borderId="0" pivotButton="0" quotePrefix="0" xfId="0"/>
    <xf numFmtId="0" fontId="10" fillId="0" borderId="0" pivotButton="0" quotePrefix="0" xfId="0"/>
    <xf numFmtId="10" fontId="5" fillId="0" borderId="0" pivotButton="0" quotePrefix="0" xfId="0"/>
    <xf numFmtId="9" fontId="5" fillId="0" borderId="0" pivotButton="0" quotePrefix="0" xfId="0"/>
    <xf numFmtId="164" fontId="5" fillId="0" borderId="0" pivotButton="0" quotePrefix="0" xfId="0"/>
    <xf numFmtId="165" fontId="6" fillId="3" borderId="0" pivotButton="0" quotePrefix="0" xfId="0"/>
    <xf numFmtId="4" fontId="7" fillId="0" borderId="0" pivotButton="0" quotePrefix="0" xfId="0"/>
    <xf numFmtId="4" fontId="6" fillId="0" borderId="0" pivotButton="0" quotePrefix="0" xfId="0"/>
    <xf numFmtId="166" fontId="5" fillId="0" borderId="0" pivotButton="0" quotePrefix="0" xfId="0"/>
    <xf numFmtId="10" fontId="6" fillId="0" borderId="0" pivotButton="0" quotePrefix="0" xfId="0"/>
    <xf numFmtId="164" fontId="4" fillId="0" borderId="0" pivotButton="0" quotePrefix="0" xfId="0"/>
    <xf numFmtId="164" fontId="5" fillId="3" borderId="0" pivotButton="0" quotePrefix="0" xfId="0"/>
    <xf numFmtId="10" fontId="5" fillId="3" borderId="0" pivotButton="0" quotePrefix="0" xfId="0"/>
    <xf numFmtId="9" fontId="5" fillId="3" borderId="0" pivotButton="0" quotePrefix="0" xfId="0"/>
    <xf numFmtId="1" fontId="5" fillId="0" borderId="0" pivotButton="0" quotePrefix="0" xfId="0"/>
    <xf numFmtId="165" fontId="5" fillId="0" borderId="0" pivotButton="0" quotePrefix="0" xfId="0"/>
    <xf numFmtId="165" fontId="5" fillId="3" borderId="0" pivotButton="0" quotePrefix="0" xfId="0"/>
    <xf numFmtId="171" fontId="5" fillId="0" borderId="0" pivotButton="0" quotePrefix="0" xfId="0"/>
    <xf numFmtId="171" fontId="7" fillId="0" borderId="0" pivotButton="0" quotePrefix="0" xfId="0"/>
    <xf numFmtId="172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5C6C2"/>
        </patternFill>
      </fill>
    </dxf>
    <dxf>
      <fill>
        <patternFill patternType="solid">
          <fgColor rgb="00D5E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ithub.com/D0M3N1C0X/vimeo-growth-cas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00" customWidth="1" min="3" max="3"/>
  </cols>
  <sheetData>
    <row r="2">
      <c r="B2" s="1" t="inlineStr">
        <is>
          <t>Vimeo: the Self-Serve to Enterprise upgrade case</t>
        </is>
      </c>
    </row>
    <row r="3">
      <c r="B3" s="2" t="inlineStr">
        <is>
          <t>Public filings, a business case and the test that would decide it</t>
        </is>
      </c>
    </row>
    <row r="5">
      <c r="B5" s="3" t="inlineStr">
        <is>
          <t>How to read it</t>
        </is>
      </c>
    </row>
    <row r="6">
      <c r="B6" s="4" t="inlineStr">
        <is>
          <t>Blue text</t>
        </is>
      </c>
      <c r="C6" s="5" t="inlineStr">
        <is>
          <t>an input: from the filings, or an assumption</t>
        </is>
      </c>
    </row>
    <row r="7">
      <c r="B7" s="5" t="inlineStr">
        <is>
          <t>Black text</t>
        </is>
      </c>
      <c r="C7" s="5" t="inlineStr">
        <is>
          <t>a formula</t>
        </is>
      </c>
    </row>
    <row r="8">
      <c r="B8" s="6" t="inlineStr">
        <is>
          <t>Green text</t>
        </is>
      </c>
      <c r="C8" s="5" t="inlineStr">
        <is>
          <t>a link to another sheet</t>
        </is>
      </c>
    </row>
    <row r="9">
      <c r="B9" s="7" t="inlineStr">
        <is>
          <t>Yellow fill</t>
        </is>
      </c>
      <c r="C9" s="5" t="inlineStr">
        <is>
          <t>an assumption the result depends on</t>
        </is>
      </c>
    </row>
    <row r="11">
      <c r="B11" s="3" t="inlineStr">
        <is>
          <t>Sheets</t>
        </is>
      </c>
    </row>
    <row r="12">
      <c r="B12" s="8" t="inlineStr">
        <is>
          <t>Summary</t>
        </is>
      </c>
      <c r="C12" s="5" t="inlineStr">
        <is>
          <t>The answer in eight lines.</t>
        </is>
      </c>
    </row>
    <row r="13">
      <c r="B13" s="8" t="inlineStr">
        <is>
          <t>Business case</t>
        </is>
      </c>
      <c r="C13" s="5" t="inlineStr">
        <is>
          <t>Three years of the bet, its value and its break-even uplift.</t>
        </is>
      </c>
    </row>
    <row r="14">
      <c r="B14" s="8" t="inlineStr">
        <is>
          <t>Sensitivity</t>
        </is>
      </c>
      <c r="C14" s="5" t="inlineStr">
        <is>
          <t>The case recomputed with each driver at its low and high value.</t>
        </is>
      </c>
    </row>
    <row r="15">
      <c r="B15" s="8" t="inlineStr">
        <is>
          <t>Test design</t>
        </is>
      </c>
      <c r="C15" s="5" t="inlineStr">
        <is>
          <t>Sample sizes for four designs against the accounts available.</t>
        </is>
      </c>
    </row>
    <row r="16">
      <c r="B16" s="8" t="inlineStr">
        <is>
          <t>Test readout</t>
        </is>
      </c>
      <c r="C16" s="5" t="inlineStr">
        <is>
          <t>Paste the counts of a real test and read the decision.</t>
        </is>
      </c>
    </row>
    <row r="17">
      <c r="B17" s="8" t="inlineStr">
        <is>
          <t>Value of test</t>
        </is>
      </c>
      <c r="C17" s="5" t="inlineStr">
        <is>
          <t>Launch now, do nothing, or test first: each option's value under two priors.</t>
        </is>
      </c>
    </row>
    <row r="18">
      <c r="B18" s="8" t="inlineStr">
        <is>
          <t>Bridge</t>
        </is>
      </c>
      <c r="C18" s="5" t="inlineStr">
        <is>
          <t>Each category's revenue change split into volume and price.</t>
        </is>
      </c>
    </row>
    <row r="19">
      <c r="B19" s="8" t="inlineStr">
        <is>
          <t>Segments</t>
        </is>
      </c>
      <c r="C19" s="5" t="inlineStr">
        <is>
          <t>Subscribers, ARPU, bookings and revenue from the filings.</t>
        </is>
      </c>
    </row>
    <row r="20">
      <c r="B20" s="8" t="inlineStr">
        <is>
          <t>P&amp;L</t>
        </is>
      </c>
      <c r="C20" s="5" t="inlineStr">
        <is>
          <t>Revenue, costs and margins from the XBRL facts.</t>
        </is>
      </c>
    </row>
    <row r="21">
      <c r="B21" s="8" t="inlineStr">
        <is>
          <t>Inputs</t>
        </is>
      </c>
      <c r="C21" s="5" t="inlineStr">
        <is>
          <t>Every assumption, with its reason.</t>
        </is>
      </c>
    </row>
    <row r="22">
      <c r="B22" s="8" t="inlineStr">
        <is>
          <t>Reconciliation</t>
        </is>
      </c>
      <c r="C22" s="5" t="inlineStr">
        <is>
          <t>Each figure checked against the Python pipeline.</t>
        </is>
      </c>
    </row>
    <row r="24">
      <c r="B24" s="3" t="inlineStr">
        <is>
          <t>Check</t>
        </is>
      </c>
      <c r="C24" s="9">
        <f>Reconciliation!B3</f>
        <v/>
      </c>
    </row>
    <row r="26" ht="28" customHeight="1">
      <c r="B26" s="3" t="inlineStr">
        <is>
          <t>Data</t>
        </is>
      </c>
      <c r="C26" s="10" t="inlineStr">
        <is>
          <t>Vimeo, Inc. 10-K and 10-Q filings with the SEC, 2021 to Q3 2025. Assumptions are mine and labelled. The test readout is simulated. Nothing here uses non-public information.</t>
        </is>
      </c>
    </row>
    <row r="28">
      <c r="B28" s="11" t="inlineStr">
        <is>
          <t>Domenico Perroni</t>
        </is>
      </c>
      <c r="C28" s="8" t="inlineStr">
        <is>
          <t>https://github.com/D0M3N1C0X/vimeo-growth-case</t>
        </is>
      </c>
    </row>
  </sheetData>
  <hyperlinks>
    <hyperlink ref="B12" location="'Summary'!A1"/>
    <hyperlink ref="B13" location="'Business case'!A1"/>
    <hyperlink ref="B14" location="'Sensitivity'!A1"/>
    <hyperlink ref="B15" location="'Test design'!A1"/>
    <hyperlink ref="B16" location="'Test readout'!A1"/>
    <hyperlink ref="B17" location="'Value of test'!A1"/>
    <hyperlink ref="B18" location="'Bridge'!A1"/>
    <hyperlink ref="B19" location="'Segments'!A1"/>
    <hyperlink ref="B20" location="'P&amp;L'!A1"/>
    <hyperlink ref="B21" location="'Inputs'!A1"/>
    <hyperlink ref="B22" location="'Reconciliation'!A1"/>
    <hyperlink xmlns:r="http://schemas.openxmlformats.org/officeDocument/2006/relationships" ref="C28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0" customWidth="1" min="2" max="2"/>
  </cols>
  <sheetData>
    <row r="1">
      <c r="A1" s="12" t="inlineStr">
        <is>
          <t>Summary</t>
        </is>
      </c>
    </row>
    <row r="2">
      <c r="A2" s="13" t="inlineStr">
        <is>
          <t>Everything on this sheet is a link or a formula.</t>
        </is>
      </c>
    </row>
    <row r="4">
      <c r="A4" s="14" t="inlineStr">
        <is>
          <t>Eligible Self-Serve accounts</t>
        </is>
      </c>
      <c r="B4" s="15">
        <f>'Business case'!$B$10</f>
        <v/>
      </c>
    </row>
    <row r="5">
      <c r="A5" s="14" t="inlineStr">
        <is>
          <t>Net present value, 3 years</t>
        </is>
      </c>
      <c r="B5" s="16">
        <f>'Business case'!$B$30</f>
        <v/>
      </c>
    </row>
    <row r="6">
      <c r="A6" s="14" t="inlineStr">
        <is>
          <t>Payback year</t>
        </is>
      </c>
      <c r="B6" s="6">
        <f>'Business case'!$B$31</f>
        <v/>
      </c>
    </row>
    <row r="7">
      <c r="A7" s="14" t="inlineStr">
        <is>
          <t>Year-3 net new revenue</t>
        </is>
      </c>
      <c r="B7" s="16">
        <f>'Business case'!$B$32</f>
        <v/>
      </c>
    </row>
    <row r="8">
      <c r="A8" s="14" t="inlineStr">
        <is>
          <t>Break-even uplift per eligible account per year</t>
        </is>
      </c>
      <c r="B8" s="17">
        <f>'Business case'!$B$37</f>
        <v/>
      </c>
    </row>
    <row r="9">
      <c r="A9" s="14" t="inlineStr">
        <is>
          <t>Planned uplift</t>
        </is>
      </c>
      <c r="B9" s="18">
        <f>Inputs!$C$6</f>
        <v/>
      </c>
    </row>
    <row r="10">
      <c r="A10" s="14" t="inlineStr">
        <is>
          <t>Smallest feasible test</t>
        </is>
      </c>
      <c r="B10" s="6">
        <f>INDEX('Test design'!A5:A8,MATCH("Yes",'Test design'!L5:L8,0))</f>
        <v/>
      </c>
    </row>
    <row r="11">
      <c r="A11" s="14" t="inlineStr">
        <is>
          <t>Decision on the simulated run</t>
        </is>
      </c>
      <c r="B11" s="6">
        <f>'Test readout'!B22</f>
        <v/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2" t="inlineStr">
        <is>
          <t>Business case: route Self-Serve teams that look like Enterprise buyers to sales</t>
        </is>
      </c>
    </row>
    <row r="2">
      <c r="A2" s="13" t="inlineStr">
        <is>
          <t>Three years, a new cohort of upgrades each year, upgrades mid-year. US$. Starting point: Vimeo's Q3 2025 10-Q.</t>
        </is>
      </c>
    </row>
    <row r="4">
      <c r="A4" s="3" t="inlineStr">
        <is>
          <t>Starting point (Q3 2025)</t>
        </is>
      </c>
    </row>
    <row r="5">
      <c r="A5" s="5" t="inlineStr">
        <is>
          <t>Self-Serve subscribers</t>
        </is>
      </c>
      <c r="B5" s="15">
        <f>INDEX(Segments!$E$5:$E$46,MATCH("2025|2025Q3|Self-Serve",Segments!$A$5:$A$46,0))*1000</f>
        <v/>
      </c>
    </row>
    <row r="6">
      <c r="A6" s="5" t="inlineStr">
        <is>
          <t>Self-Serve ARPU</t>
        </is>
      </c>
      <c r="B6" s="16">
        <f>INDEX(Segments!$G$5:$G$46,MATCH("2025|2025Q3|Self-Serve",Segments!$A$5:$A$46,0))</f>
        <v/>
      </c>
    </row>
    <row r="7">
      <c r="A7" s="5" t="inlineStr">
        <is>
          <t>Enterprise ARPU</t>
        </is>
      </c>
      <c r="B7" s="16">
        <f>INDEX(Segments!$G$5:$G$46,MATCH("2025|2025Q3|Vimeo Enterprise",Segments!$A$5:$A$46,0))</f>
        <v/>
      </c>
    </row>
    <row r="9">
      <c r="A9" s="3" t="inlineStr">
        <is>
          <t>The bet</t>
        </is>
      </c>
    </row>
    <row r="10">
      <c r="A10" s="5" t="inlineStr">
        <is>
          <t>Eligible accounts</t>
        </is>
      </c>
      <c r="B10" s="19">
        <f>B5*Inputs!$C$5</f>
        <v/>
      </c>
    </row>
    <row r="11">
      <c r="A11" s="5" t="inlineStr">
        <is>
          <t>Upgrades per year</t>
        </is>
      </c>
      <c r="B11" s="20">
        <f>B10*Inputs!$C$6</f>
        <v/>
      </c>
    </row>
    <row r="12">
      <c r="A12" s="5" t="inlineStr">
        <is>
          <t>First-year contract value</t>
        </is>
      </c>
      <c r="B12" s="21">
        <f>B7*Inputs!$C$7</f>
        <v/>
      </c>
    </row>
    <row r="13">
      <c r="A13" s="5" t="inlineStr">
        <is>
          <t>Account executives (hired to plan)</t>
        </is>
      </c>
      <c r="B13" s="19">
        <f>ROUNDUP(B10*Inputs!$C$12/Inputs!$C$11-1E-9,0)</f>
        <v/>
      </c>
    </row>
    <row r="14">
      <c r="A14" s="5" t="inlineStr">
        <is>
          <t>Self-Serve revenue lost per upgrade</t>
        </is>
      </c>
      <c r="B14" s="21">
        <f>B6*Inputs!$C$9</f>
        <v/>
      </c>
    </row>
    <row r="16" ht="20" customHeight="1">
      <c r="A16" s="22" t="inlineStr">
        <is>
          <t>US$</t>
        </is>
      </c>
      <c r="B16" s="22" t="inlineStr">
        <is>
          <t>Year 1</t>
        </is>
      </c>
      <c r="C16" s="22" t="inlineStr">
        <is>
          <t>Year 2</t>
        </is>
      </c>
      <c r="D16" s="22" t="inlineStr">
        <is>
          <t>Year 3</t>
        </is>
      </c>
      <c r="E16" s="22" t="inlineStr">
        <is>
          <t>Total</t>
        </is>
      </c>
    </row>
    <row r="17">
      <c r="A17" s="5" t="inlineStr">
        <is>
          <t>Revenue weight (cohort-years)</t>
        </is>
      </c>
      <c r="B17" s="23">
        <f>0.5</f>
        <v/>
      </c>
      <c r="C17" s="23">
        <f>Inputs!$C$8^1+0.5</f>
        <v/>
      </c>
      <c r="D17" s="23">
        <f>Inputs!$C$8^2+Inputs!$C$8^1+0.5</f>
        <v/>
      </c>
    </row>
    <row r="18">
      <c r="A18" s="5" t="inlineStr">
        <is>
          <t>Enterprise revenue</t>
        </is>
      </c>
      <c r="B18" s="24">
        <f>$B$11*$B$12*B17</f>
        <v/>
      </c>
      <c r="C18" s="24">
        <f>$B$11*$B$12*C17</f>
        <v/>
      </c>
      <c r="D18" s="24">
        <f>$B$11*$B$12*D17</f>
        <v/>
      </c>
      <c r="E18" s="24">
        <f>SUM(B18:D18)</f>
        <v/>
      </c>
    </row>
    <row r="19">
      <c r="A19" s="5" t="inlineStr">
        <is>
          <t>Self-Serve revenue lost</t>
        </is>
      </c>
      <c r="B19" s="24">
        <f>$B$11*$B$14*(0+0.5)</f>
        <v/>
      </c>
      <c r="C19" s="24">
        <f>$B$11*$B$14*(1+0.5)</f>
        <v/>
      </c>
      <c r="D19" s="24">
        <f>$B$11*$B$14*(2+0.5)</f>
        <v/>
      </c>
      <c r="E19" s="24">
        <f>SUM(B19:D19)</f>
        <v/>
      </c>
    </row>
    <row r="20">
      <c r="A20" s="14" t="inlineStr">
        <is>
          <t>Net new revenue</t>
        </is>
      </c>
      <c r="B20" s="21">
        <f>B18-B19</f>
        <v/>
      </c>
      <c r="C20" s="21">
        <f>C18-C19</f>
        <v/>
      </c>
      <c r="D20" s="21">
        <f>D18-D19</f>
        <v/>
      </c>
      <c r="E20" s="21">
        <f>SUM(B20:D20)</f>
        <v/>
      </c>
    </row>
    <row r="21">
      <c r="A21" s="5" t="inlineStr">
        <is>
          <t>Gross profit</t>
        </is>
      </c>
      <c r="B21" s="24">
        <f>B20*Inputs!$C$14</f>
        <v/>
      </c>
      <c r="C21" s="24">
        <f>C20*Inputs!$C$14</f>
        <v/>
      </c>
      <c r="D21" s="24">
        <f>D20*Inputs!$C$14</f>
        <v/>
      </c>
      <c r="E21" s="24">
        <f>SUM(B21:D21)</f>
        <v/>
      </c>
    </row>
    <row r="22">
      <c r="A22" s="5" t="inlineStr">
        <is>
          <t>Account executives</t>
        </is>
      </c>
      <c r="B22" s="24">
        <f>$B$13*Inputs!$C$10</f>
        <v/>
      </c>
      <c r="C22" s="24">
        <f>$B$13*Inputs!$C$10</f>
        <v/>
      </c>
      <c r="D22" s="24">
        <f>$B$13*Inputs!$C$10</f>
        <v/>
      </c>
      <c r="E22" s="24">
        <f>SUM(B22:D22)</f>
        <v/>
      </c>
    </row>
    <row r="23">
      <c r="A23" s="5" t="inlineStr">
        <is>
          <t>Outreach</t>
        </is>
      </c>
      <c r="B23" s="24">
        <f>$B$10*Inputs!$C$13</f>
        <v/>
      </c>
      <c r="C23" s="24">
        <f>$B$10*Inputs!$C$13</f>
        <v/>
      </c>
      <c r="D23" s="24">
        <f>$B$10*Inputs!$C$13</f>
        <v/>
      </c>
      <c r="E23" s="24">
        <f>SUM(B23:D23)</f>
        <v/>
      </c>
    </row>
    <row r="24">
      <c r="A24" s="5" t="inlineStr">
        <is>
          <t>Build</t>
        </is>
      </c>
      <c r="B24" s="24">
        <f>Inputs!$C$15</f>
        <v/>
      </c>
      <c r="C24" s="24" t="n">
        <v>0</v>
      </c>
      <c r="D24" s="24" t="n">
        <v>0</v>
      </c>
      <c r="E24" s="24">
        <f>SUM(B24:D24)</f>
        <v/>
      </c>
    </row>
    <row r="25">
      <c r="A25" s="14" t="inlineStr">
        <is>
          <t>Contribution</t>
        </is>
      </c>
      <c r="B25" s="21">
        <f>B21-B22-B23-B24</f>
        <v/>
      </c>
      <c r="C25" s="21">
        <f>C21-C22-C23-C24</f>
        <v/>
      </c>
      <c r="D25" s="21">
        <f>D21-D22-D23-D24</f>
        <v/>
      </c>
      <c r="E25" s="21">
        <f>SUM(B25:D25)</f>
        <v/>
      </c>
    </row>
    <row r="26">
      <c r="A26" s="5" t="inlineStr">
        <is>
          <t>Cumulative</t>
        </is>
      </c>
      <c r="B26" s="24">
        <f>B25</f>
        <v/>
      </c>
      <c r="C26" s="24">
        <f>B26+C25</f>
        <v/>
      </c>
      <c r="D26" s="24">
        <f>C26+D25</f>
        <v/>
      </c>
    </row>
    <row r="27">
      <c r="A27" s="5" t="inlineStr">
        <is>
          <t>Discount factor</t>
        </is>
      </c>
      <c r="B27" s="25">
        <f>1/(1+Inputs!$C$16)^1</f>
        <v/>
      </c>
      <c r="C27" s="25">
        <f>1/(1+Inputs!$C$16)^2</f>
        <v/>
      </c>
      <c r="D27" s="25">
        <f>1/(1+Inputs!$C$16)^3</f>
        <v/>
      </c>
    </row>
    <row r="28">
      <c r="A28" s="14" t="inlineStr">
        <is>
          <t>Present value</t>
        </is>
      </c>
      <c r="B28" s="21">
        <f>B25*B27</f>
        <v/>
      </c>
      <c r="C28" s="21">
        <f>C25*C27</f>
        <v/>
      </c>
      <c r="D28" s="21">
        <f>D25*D27</f>
        <v/>
      </c>
      <c r="E28" s="21">
        <f>SUM(B28:D28)</f>
        <v/>
      </c>
    </row>
    <row r="30">
      <c r="A30" s="3" t="inlineStr">
        <is>
          <t>Net present value</t>
        </is>
      </c>
      <c r="B30" s="21">
        <f>E28</f>
        <v/>
      </c>
    </row>
    <row r="31">
      <c r="A31" s="5" t="inlineStr">
        <is>
          <t>Payback year (first year cumulative is positive)</t>
        </is>
      </c>
      <c r="B31" s="5">
        <f>IF(B26&gt;=0,1,IF(C26&gt;=0,2,IF(D26&gt;=0,3,"after year 3")))</f>
        <v/>
      </c>
    </row>
    <row r="32">
      <c r="A32" s="5" t="inlineStr">
        <is>
          <t>Year-3 net new revenue</t>
        </is>
      </c>
      <c r="B32" s="24">
        <f>D20</f>
        <v/>
      </c>
    </row>
    <row r="34">
      <c r="A34" s="3" t="inlineStr">
        <is>
          <t>Break-even uplift</t>
        </is>
      </c>
    </row>
    <row r="35">
      <c r="A35" s="5" t="inlineStr">
        <is>
          <t>Present value of gross profit per unit of uplift</t>
        </is>
      </c>
      <c r="B35" s="24">
        <f>SUMPRODUCT(B21:D21,B27:D27)/Inputs!$C$6</f>
        <v/>
      </c>
    </row>
    <row r="36">
      <c r="A36" s="5" t="inlineStr">
        <is>
          <t>Present value of fixed costs</t>
        </is>
      </c>
      <c r="B36" s="24">
        <f>SUMPRODUCT(B22:D22,B27:D27)+SUMPRODUCT(B23:D23,B27:D27)+SUMPRODUCT(B24:D24,B27:D27)</f>
        <v/>
      </c>
    </row>
    <row r="37">
      <c r="A37" s="14" t="inlineStr">
        <is>
          <t>Uplift at which net present value is zero</t>
        </is>
      </c>
      <c r="B37" s="26">
        <f>B36/B35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2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>
      <c r="A1" s="12" t="inlineStr">
        <is>
          <t>Sensitivity: net present value with one driver at its low or high value</t>
        </is>
      </c>
    </row>
    <row r="2">
      <c r="A2" s="13" t="inlineStr">
        <is>
          <t>Each row recomputes the three-year case in full. Sorted by swing at the time of building; values update live.</t>
        </is>
      </c>
    </row>
    <row r="4" ht="32" customHeight="1">
      <c r="A4" s="22" t="inlineStr">
        <is>
          <t>Driver</t>
        </is>
      </c>
      <c r="B4" s="22" t="inlineStr">
        <is>
          <t>Case</t>
        </is>
      </c>
      <c r="C4" s="22" t="inlineStr">
        <is>
          <t>eligible_share</t>
        </is>
      </c>
      <c r="D4" s="22" t="inlineStr">
        <is>
          <t>uplift</t>
        </is>
      </c>
      <c r="E4" s="22" t="inlineStr">
        <is>
          <t>entry_acv_share</t>
        </is>
      </c>
      <c r="F4" s="22" t="inlineStr">
        <is>
          <t>retention</t>
        </is>
      </c>
      <c r="G4" s="22" t="inlineStr">
        <is>
          <t>upgrades_per_ae</t>
        </is>
      </c>
      <c r="H4" s="22" t="inlineStr">
        <is>
          <t>outreach_cost</t>
        </is>
      </c>
      <c r="I4" s="22" t="inlineStr">
        <is>
          <t>gross_margin</t>
        </is>
      </c>
      <c r="J4" s="22" t="inlineStr">
        <is>
          <t>Eligible</t>
        </is>
      </c>
      <c r="K4" s="22" t="inlineStr">
        <is>
          <t>Upgrades</t>
        </is>
      </c>
      <c r="L4" s="22" t="inlineStr">
        <is>
          <t>ACV</t>
        </is>
      </c>
      <c r="M4" s="22" t="inlineStr">
        <is>
          <t>AEs</t>
        </is>
      </c>
      <c r="N4" s="22" t="inlineStr">
        <is>
          <t>W1</t>
        </is>
      </c>
      <c r="O4" s="22" t="inlineStr">
        <is>
          <t>W2</t>
        </is>
      </c>
      <c r="P4" s="22" t="inlineStr">
        <is>
          <t>W3</t>
        </is>
      </c>
      <c r="Q4" s="22" t="inlineStr">
        <is>
          <t>PV1</t>
        </is>
      </c>
      <c r="R4" s="22" t="inlineStr">
        <is>
          <t>PV2</t>
        </is>
      </c>
      <c r="S4" s="22" t="inlineStr">
        <is>
          <t>PV3</t>
        </is>
      </c>
      <c r="T4" s="22" t="inlineStr">
        <is>
          <t>NPV</t>
        </is>
      </c>
    </row>
    <row r="5">
      <c r="A5" s="4" t="inlineStr">
        <is>
          <t>uplift</t>
        </is>
      </c>
      <c r="B5" s="4" t="inlineStr">
        <is>
          <t>low</t>
        </is>
      </c>
      <c r="C5" s="6">
        <f>Inputs!$C$5</f>
        <v/>
      </c>
      <c r="D5" s="27" t="n">
        <v>0.004</v>
      </c>
      <c r="E5" s="6">
        <f>Inputs!$C$7</f>
        <v/>
      </c>
      <c r="F5" s="6">
        <f>Inputs!$C$8</f>
        <v/>
      </c>
      <c r="G5" s="6">
        <f>Inputs!$C$11</f>
        <v/>
      </c>
      <c r="H5" s="6">
        <f>Inputs!$C$13</f>
        <v/>
      </c>
      <c r="I5" s="6">
        <f>Inputs!$C$14</f>
        <v/>
      </c>
      <c r="J5" s="28">
        <f>'Business case'!$B$5*C5</f>
        <v/>
      </c>
      <c r="K5" s="29">
        <f>J5*D5</f>
        <v/>
      </c>
      <c r="L5" s="24">
        <f>'Business case'!$B$7*E5</f>
        <v/>
      </c>
      <c r="M5" s="28">
        <f>ROUNDUP(J5*Inputs!$C$12/G5-1E-9,0)</f>
        <v/>
      </c>
      <c r="N5" s="23">
        <f>0.5</f>
        <v/>
      </c>
      <c r="O5" s="23">
        <f>F5^1+0.5</f>
        <v/>
      </c>
      <c r="P5" s="23">
        <f>F5^2+F5^1+0.5</f>
        <v/>
      </c>
      <c r="Q5" s="24">
        <f>((K5*L5*N5-K5*'Business case'!$B$14*(0+0.5))*I5-(M5*Inputs!$C$10+J5*H5+Inputs!$C$15))/(1+Inputs!$C$16)^1</f>
        <v/>
      </c>
      <c r="R5" s="24">
        <f>((K5*L5*O5-K5*'Business case'!$B$14*(1+0.5))*I5-(M5*Inputs!$C$10+J5*H5))/(1+Inputs!$C$16)^2</f>
        <v/>
      </c>
      <c r="S5" s="24">
        <f>((K5*L5*P5-K5*'Business case'!$B$14*(2+0.5))*I5-(M5*Inputs!$C$10+J5*H5))/(1+Inputs!$C$16)^3</f>
        <v/>
      </c>
      <c r="T5" s="21">
        <f>SUM(Q5:S5)</f>
        <v/>
      </c>
    </row>
    <row r="6">
      <c r="A6" s="4" t="inlineStr">
        <is>
          <t>uplift</t>
        </is>
      </c>
      <c r="B6" s="4" t="inlineStr">
        <is>
          <t>high</t>
        </is>
      </c>
      <c r="C6" s="6">
        <f>Inputs!$C$5</f>
        <v/>
      </c>
      <c r="D6" s="27" t="n">
        <v>0.02</v>
      </c>
      <c r="E6" s="6">
        <f>Inputs!$C$7</f>
        <v/>
      </c>
      <c r="F6" s="6">
        <f>Inputs!$C$8</f>
        <v/>
      </c>
      <c r="G6" s="6">
        <f>Inputs!$C$11</f>
        <v/>
      </c>
      <c r="H6" s="6">
        <f>Inputs!$C$13</f>
        <v/>
      </c>
      <c r="I6" s="6">
        <f>Inputs!$C$14</f>
        <v/>
      </c>
      <c r="J6" s="28">
        <f>'Business case'!$B$5*C6</f>
        <v/>
      </c>
      <c r="K6" s="29">
        <f>J6*D6</f>
        <v/>
      </c>
      <c r="L6" s="24">
        <f>'Business case'!$B$7*E6</f>
        <v/>
      </c>
      <c r="M6" s="28">
        <f>ROUNDUP(J6*Inputs!$C$12/G6-1E-9,0)</f>
        <v/>
      </c>
      <c r="N6" s="23">
        <f>0.5</f>
        <v/>
      </c>
      <c r="O6" s="23">
        <f>F6^1+0.5</f>
        <v/>
      </c>
      <c r="P6" s="23">
        <f>F6^2+F6^1+0.5</f>
        <v/>
      </c>
      <c r="Q6" s="24">
        <f>((K6*L6*N6-K6*'Business case'!$B$14*(0+0.5))*I6-(M6*Inputs!$C$10+J6*H6+Inputs!$C$15))/(1+Inputs!$C$16)^1</f>
        <v/>
      </c>
      <c r="R6" s="24">
        <f>((K6*L6*O6-K6*'Business case'!$B$14*(1+0.5))*I6-(M6*Inputs!$C$10+J6*H6))/(1+Inputs!$C$16)^2</f>
        <v/>
      </c>
      <c r="S6" s="24">
        <f>((K6*L6*P6-K6*'Business case'!$B$14*(2+0.5))*I6-(M6*Inputs!$C$10+J6*H6))/(1+Inputs!$C$16)^3</f>
        <v/>
      </c>
      <c r="T6" s="21">
        <f>SUM(Q6:S6)</f>
        <v/>
      </c>
    </row>
    <row r="7">
      <c r="A7" s="4" t="inlineStr">
        <is>
          <t>entry_acv_share</t>
        </is>
      </c>
      <c r="B7" s="4" t="inlineStr">
        <is>
          <t>low</t>
        </is>
      </c>
      <c r="C7" s="6">
        <f>Inputs!$C$5</f>
        <v/>
      </c>
      <c r="D7" s="6">
        <f>Inputs!$C$6</f>
        <v/>
      </c>
      <c r="E7" s="27" t="n">
        <v>0.3</v>
      </c>
      <c r="F7" s="6">
        <f>Inputs!$C$8</f>
        <v/>
      </c>
      <c r="G7" s="6">
        <f>Inputs!$C$11</f>
        <v/>
      </c>
      <c r="H7" s="6">
        <f>Inputs!$C$13</f>
        <v/>
      </c>
      <c r="I7" s="6">
        <f>Inputs!$C$14</f>
        <v/>
      </c>
      <c r="J7" s="28">
        <f>'Business case'!$B$5*C7</f>
        <v/>
      </c>
      <c r="K7" s="29">
        <f>J7*D7</f>
        <v/>
      </c>
      <c r="L7" s="24">
        <f>'Business case'!$B$7*E7</f>
        <v/>
      </c>
      <c r="M7" s="28">
        <f>ROUNDUP(J7*Inputs!$C$12/G7-1E-9,0)</f>
        <v/>
      </c>
      <c r="N7" s="23">
        <f>0.5</f>
        <v/>
      </c>
      <c r="O7" s="23">
        <f>F7^1+0.5</f>
        <v/>
      </c>
      <c r="P7" s="23">
        <f>F7^2+F7^1+0.5</f>
        <v/>
      </c>
      <c r="Q7" s="24">
        <f>((K7*L7*N7-K7*'Business case'!$B$14*(0+0.5))*I7-(M7*Inputs!$C$10+J7*H7+Inputs!$C$15))/(1+Inputs!$C$16)^1</f>
        <v/>
      </c>
      <c r="R7" s="24">
        <f>((K7*L7*O7-K7*'Business case'!$B$14*(1+0.5))*I7-(M7*Inputs!$C$10+J7*H7))/(1+Inputs!$C$16)^2</f>
        <v/>
      </c>
      <c r="S7" s="24">
        <f>((K7*L7*P7-K7*'Business case'!$B$14*(2+0.5))*I7-(M7*Inputs!$C$10+J7*H7))/(1+Inputs!$C$16)^3</f>
        <v/>
      </c>
      <c r="T7" s="21">
        <f>SUM(Q7:S7)</f>
        <v/>
      </c>
    </row>
    <row r="8">
      <c r="A8" s="4" t="inlineStr">
        <is>
          <t>entry_acv_share</t>
        </is>
      </c>
      <c r="B8" s="4" t="inlineStr">
        <is>
          <t>high</t>
        </is>
      </c>
      <c r="C8" s="6">
        <f>Inputs!$C$5</f>
        <v/>
      </c>
      <c r="D8" s="6">
        <f>Inputs!$C$6</f>
        <v/>
      </c>
      <c r="E8" s="27" t="n">
        <v>0.7</v>
      </c>
      <c r="F8" s="6">
        <f>Inputs!$C$8</f>
        <v/>
      </c>
      <c r="G8" s="6">
        <f>Inputs!$C$11</f>
        <v/>
      </c>
      <c r="H8" s="6">
        <f>Inputs!$C$13</f>
        <v/>
      </c>
      <c r="I8" s="6">
        <f>Inputs!$C$14</f>
        <v/>
      </c>
      <c r="J8" s="28">
        <f>'Business case'!$B$5*C8</f>
        <v/>
      </c>
      <c r="K8" s="29">
        <f>J8*D8</f>
        <v/>
      </c>
      <c r="L8" s="24">
        <f>'Business case'!$B$7*E8</f>
        <v/>
      </c>
      <c r="M8" s="28">
        <f>ROUNDUP(J8*Inputs!$C$12/G8-1E-9,0)</f>
        <v/>
      </c>
      <c r="N8" s="23">
        <f>0.5</f>
        <v/>
      </c>
      <c r="O8" s="23">
        <f>F8^1+0.5</f>
        <v/>
      </c>
      <c r="P8" s="23">
        <f>F8^2+F8^1+0.5</f>
        <v/>
      </c>
      <c r="Q8" s="24">
        <f>((K8*L8*N8-K8*'Business case'!$B$14*(0+0.5))*I8-(M8*Inputs!$C$10+J8*H8+Inputs!$C$15))/(1+Inputs!$C$16)^1</f>
        <v/>
      </c>
      <c r="R8" s="24">
        <f>((K8*L8*O8-K8*'Business case'!$B$14*(1+0.5))*I8-(M8*Inputs!$C$10+J8*H8))/(1+Inputs!$C$16)^2</f>
        <v/>
      </c>
      <c r="S8" s="24">
        <f>((K8*L8*P8-K8*'Business case'!$B$14*(2+0.5))*I8-(M8*Inputs!$C$10+J8*H8))/(1+Inputs!$C$16)^3</f>
        <v/>
      </c>
      <c r="T8" s="21">
        <f>SUM(Q8:S8)</f>
        <v/>
      </c>
    </row>
    <row r="9">
      <c r="A9" s="4" t="inlineStr">
        <is>
          <t>eligible_share</t>
        </is>
      </c>
      <c r="B9" s="4" t="inlineStr">
        <is>
          <t>low</t>
        </is>
      </c>
      <c r="C9" s="27" t="n">
        <v>0.01</v>
      </c>
      <c r="D9" s="6">
        <f>Inputs!$C$6</f>
        <v/>
      </c>
      <c r="E9" s="6">
        <f>Inputs!$C$7</f>
        <v/>
      </c>
      <c r="F9" s="6">
        <f>Inputs!$C$8</f>
        <v/>
      </c>
      <c r="G9" s="6">
        <f>Inputs!$C$11</f>
        <v/>
      </c>
      <c r="H9" s="6">
        <f>Inputs!$C$13</f>
        <v/>
      </c>
      <c r="I9" s="6">
        <f>Inputs!$C$14</f>
        <v/>
      </c>
      <c r="J9" s="28">
        <f>'Business case'!$B$5*C9</f>
        <v/>
      </c>
      <c r="K9" s="29">
        <f>J9*D9</f>
        <v/>
      </c>
      <c r="L9" s="24">
        <f>'Business case'!$B$7*E9</f>
        <v/>
      </c>
      <c r="M9" s="28">
        <f>ROUNDUP(J9*Inputs!$C$12/G9-1E-9,0)</f>
        <v/>
      </c>
      <c r="N9" s="23">
        <f>0.5</f>
        <v/>
      </c>
      <c r="O9" s="23">
        <f>F9^1+0.5</f>
        <v/>
      </c>
      <c r="P9" s="23">
        <f>F9^2+F9^1+0.5</f>
        <v/>
      </c>
      <c r="Q9" s="24">
        <f>((K9*L9*N9-K9*'Business case'!$B$14*(0+0.5))*I9-(M9*Inputs!$C$10+J9*H9+Inputs!$C$15))/(1+Inputs!$C$16)^1</f>
        <v/>
      </c>
      <c r="R9" s="24">
        <f>((K9*L9*O9-K9*'Business case'!$B$14*(1+0.5))*I9-(M9*Inputs!$C$10+J9*H9))/(1+Inputs!$C$16)^2</f>
        <v/>
      </c>
      <c r="S9" s="24">
        <f>((K9*L9*P9-K9*'Business case'!$B$14*(2+0.5))*I9-(M9*Inputs!$C$10+J9*H9))/(1+Inputs!$C$16)^3</f>
        <v/>
      </c>
      <c r="T9" s="21">
        <f>SUM(Q9:S9)</f>
        <v/>
      </c>
    </row>
    <row r="10">
      <c r="A10" s="4" t="inlineStr">
        <is>
          <t>eligible_share</t>
        </is>
      </c>
      <c r="B10" s="4" t="inlineStr">
        <is>
          <t>high</t>
        </is>
      </c>
      <c r="C10" s="27" t="n">
        <v>0.04</v>
      </c>
      <c r="D10" s="6">
        <f>Inputs!$C$6</f>
        <v/>
      </c>
      <c r="E10" s="6">
        <f>Inputs!$C$7</f>
        <v/>
      </c>
      <c r="F10" s="6">
        <f>Inputs!$C$8</f>
        <v/>
      </c>
      <c r="G10" s="6">
        <f>Inputs!$C$11</f>
        <v/>
      </c>
      <c r="H10" s="6">
        <f>Inputs!$C$13</f>
        <v/>
      </c>
      <c r="I10" s="6">
        <f>Inputs!$C$14</f>
        <v/>
      </c>
      <c r="J10" s="28">
        <f>'Business case'!$B$5*C10</f>
        <v/>
      </c>
      <c r="K10" s="29">
        <f>J10*D10</f>
        <v/>
      </c>
      <c r="L10" s="24">
        <f>'Business case'!$B$7*E10</f>
        <v/>
      </c>
      <c r="M10" s="28">
        <f>ROUNDUP(J10*Inputs!$C$12/G10-1E-9,0)</f>
        <v/>
      </c>
      <c r="N10" s="23">
        <f>0.5</f>
        <v/>
      </c>
      <c r="O10" s="23">
        <f>F10^1+0.5</f>
        <v/>
      </c>
      <c r="P10" s="23">
        <f>F10^2+F10^1+0.5</f>
        <v/>
      </c>
      <c r="Q10" s="24">
        <f>((K10*L10*N10-K10*'Business case'!$B$14*(0+0.5))*I10-(M10*Inputs!$C$10+J10*H10+Inputs!$C$15))/(1+Inputs!$C$16)^1</f>
        <v/>
      </c>
      <c r="R10" s="24">
        <f>((K10*L10*O10-K10*'Business case'!$B$14*(1+0.5))*I10-(M10*Inputs!$C$10+J10*H10))/(1+Inputs!$C$16)^2</f>
        <v/>
      </c>
      <c r="S10" s="24">
        <f>((K10*L10*P10-K10*'Business case'!$B$14*(2+0.5))*I10-(M10*Inputs!$C$10+J10*H10))/(1+Inputs!$C$16)^3</f>
        <v/>
      </c>
      <c r="T10" s="21">
        <f>SUM(Q10:S10)</f>
        <v/>
      </c>
    </row>
    <row r="11">
      <c r="A11" s="4" t="inlineStr">
        <is>
          <t>upgrades_per_ae</t>
        </is>
      </c>
      <c r="B11" s="4" t="inlineStr">
        <is>
          <t>low</t>
        </is>
      </c>
      <c r="C11" s="6">
        <f>Inputs!$C$5</f>
        <v/>
      </c>
      <c r="D11" s="6">
        <f>Inputs!$C$6</f>
        <v/>
      </c>
      <c r="E11" s="6">
        <f>Inputs!$C$7</f>
        <v/>
      </c>
      <c r="F11" s="6">
        <f>Inputs!$C$8</f>
        <v/>
      </c>
      <c r="G11" s="27" t="n">
        <v>20</v>
      </c>
      <c r="H11" s="6">
        <f>Inputs!$C$13</f>
        <v/>
      </c>
      <c r="I11" s="6">
        <f>Inputs!$C$14</f>
        <v/>
      </c>
      <c r="J11" s="28">
        <f>'Business case'!$B$5*C11</f>
        <v/>
      </c>
      <c r="K11" s="29">
        <f>J11*D11</f>
        <v/>
      </c>
      <c r="L11" s="24">
        <f>'Business case'!$B$7*E11</f>
        <v/>
      </c>
      <c r="M11" s="28">
        <f>ROUNDUP(J11*Inputs!$C$12/G11-1E-9,0)</f>
        <v/>
      </c>
      <c r="N11" s="23">
        <f>0.5</f>
        <v/>
      </c>
      <c r="O11" s="23">
        <f>F11^1+0.5</f>
        <v/>
      </c>
      <c r="P11" s="23">
        <f>F11^2+F11^1+0.5</f>
        <v/>
      </c>
      <c r="Q11" s="24">
        <f>((K11*L11*N11-K11*'Business case'!$B$14*(0+0.5))*I11-(M11*Inputs!$C$10+J11*H11+Inputs!$C$15))/(1+Inputs!$C$16)^1</f>
        <v/>
      </c>
      <c r="R11" s="24">
        <f>((K11*L11*O11-K11*'Business case'!$B$14*(1+0.5))*I11-(M11*Inputs!$C$10+J11*H11))/(1+Inputs!$C$16)^2</f>
        <v/>
      </c>
      <c r="S11" s="24">
        <f>((K11*L11*P11-K11*'Business case'!$B$14*(2+0.5))*I11-(M11*Inputs!$C$10+J11*H11))/(1+Inputs!$C$16)^3</f>
        <v/>
      </c>
      <c r="T11" s="21">
        <f>SUM(Q11:S11)</f>
        <v/>
      </c>
    </row>
    <row r="12">
      <c r="A12" s="4" t="inlineStr">
        <is>
          <t>upgrades_per_ae</t>
        </is>
      </c>
      <c r="B12" s="4" t="inlineStr">
        <is>
          <t>high</t>
        </is>
      </c>
      <c r="C12" s="6">
        <f>Inputs!$C$5</f>
        <v/>
      </c>
      <c r="D12" s="6">
        <f>Inputs!$C$6</f>
        <v/>
      </c>
      <c r="E12" s="6">
        <f>Inputs!$C$7</f>
        <v/>
      </c>
      <c r="F12" s="6">
        <f>Inputs!$C$8</f>
        <v/>
      </c>
      <c r="G12" s="27" t="n">
        <v>60</v>
      </c>
      <c r="H12" s="6">
        <f>Inputs!$C$13</f>
        <v/>
      </c>
      <c r="I12" s="6">
        <f>Inputs!$C$14</f>
        <v/>
      </c>
      <c r="J12" s="28">
        <f>'Business case'!$B$5*C12</f>
        <v/>
      </c>
      <c r="K12" s="29">
        <f>J12*D12</f>
        <v/>
      </c>
      <c r="L12" s="24">
        <f>'Business case'!$B$7*E12</f>
        <v/>
      </c>
      <c r="M12" s="28">
        <f>ROUNDUP(J12*Inputs!$C$12/G12-1E-9,0)</f>
        <v/>
      </c>
      <c r="N12" s="23">
        <f>0.5</f>
        <v/>
      </c>
      <c r="O12" s="23">
        <f>F12^1+0.5</f>
        <v/>
      </c>
      <c r="P12" s="23">
        <f>F12^2+F12^1+0.5</f>
        <v/>
      </c>
      <c r="Q12" s="24">
        <f>((K12*L12*N12-K12*'Business case'!$B$14*(0+0.5))*I12-(M12*Inputs!$C$10+J12*H12+Inputs!$C$15))/(1+Inputs!$C$16)^1</f>
        <v/>
      </c>
      <c r="R12" s="24">
        <f>((K12*L12*O12-K12*'Business case'!$B$14*(1+0.5))*I12-(M12*Inputs!$C$10+J12*H12))/(1+Inputs!$C$16)^2</f>
        <v/>
      </c>
      <c r="S12" s="24">
        <f>((K12*L12*P12-K12*'Business case'!$B$14*(2+0.5))*I12-(M12*Inputs!$C$10+J12*H12))/(1+Inputs!$C$16)^3</f>
        <v/>
      </c>
      <c r="T12" s="21">
        <f>SUM(Q12:S12)</f>
        <v/>
      </c>
    </row>
    <row r="13">
      <c r="A13" s="4" t="inlineStr">
        <is>
          <t>outreach_cost</t>
        </is>
      </c>
      <c r="B13" s="4" t="inlineStr">
        <is>
          <t>low</t>
        </is>
      </c>
      <c r="C13" s="6">
        <f>Inputs!$C$5</f>
        <v/>
      </c>
      <c r="D13" s="6">
        <f>Inputs!$C$6</f>
        <v/>
      </c>
      <c r="E13" s="6">
        <f>Inputs!$C$7</f>
        <v/>
      </c>
      <c r="F13" s="6">
        <f>Inputs!$C$8</f>
        <v/>
      </c>
      <c r="G13" s="6">
        <f>Inputs!$C$11</f>
        <v/>
      </c>
      <c r="H13" s="27" t="n">
        <v>15</v>
      </c>
      <c r="I13" s="6">
        <f>Inputs!$C$14</f>
        <v/>
      </c>
      <c r="J13" s="28">
        <f>'Business case'!$B$5*C13</f>
        <v/>
      </c>
      <c r="K13" s="29">
        <f>J13*D13</f>
        <v/>
      </c>
      <c r="L13" s="24">
        <f>'Business case'!$B$7*E13</f>
        <v/>
      </c>
      <c r="M13" s="28">
        <f>ROUNDUP(J13*Inputs!$C$12/G13-1E-9,0)</f>
        <v/>
      </c>
      <c r="N13" s="23">
        <f>0.5</f>
        <v/>
      </c>
      <c r="O13" s="23">
        <f>F13^1+0.5</f>
        <v/>
      </c>
      <c r="P13" s="23">
        <f>F13^2+F13^1+0.5</f>
        <v/>
      </c>
      <c r="Q13" s="24">
        <f>((K13*L13*N13-K13*'Business case'!$B$14*(0+0.5))*I13-(M13*Inputs!$C$10+J13*H13+Inputs!$C$15))/(1+Inputs!$C$16)^1</f>
        <v/>
      </c>
      <c r="R13" s="24">
        <f>((K13*L13*O13-K13*'Business case'!$B$14*(1+0.5))*I13-(M13*Inputs!$C$10+J13*H13))/(1+Inputs!$C$16)^2</f>
        <v/>
      </c>
      <c r="S13" s="24">
        <f>((K13*L13*P13-K13*'Business case'!$B$14*(2+0.5))*I13-(M13*Inputs!$C$10+J13*H13))/(1+Inputs!$C$16)^3</f>
        <v/>
      </c>
      <c r="T13" s="21">
        <f>SUM(Q13:S13)</f>
        <v/>
      </c>
    </row>
    <row r="14">
      <c r="A14" s="4" t="inlineStr">
        <is>
          <t>outreach_cost</t>
        </is>
      </c>
      <c r="B14" s="4" t="inlineStr">
        <is>
          <t>high</t>
        </is>
      </c>
      <c r="C14" s="6">
        <f>Inputs!$C$5</f>
        <v/>
      </c>
      <c r="D14" s="6">
        <f>Inputs!$C$6</f>
        <v/>
      </c>
      <c r="E14" s="6">
        <f>Inputs!$C$7</f>
        <v/>
      </c>
      <c r="F14" s="6">
        <f>Inputs!$C$8</f>
        <v/>
      </c>
      <c r="G14" s="6">
        <f>Inputs!$C$11</f>
        <v/>
      </c>
      <c r="H14" s="27" t="n">
        <v>60</v>
      </c>
      <c r="I14" s="6">
        <f>Inputs!$C$14</f>
        <v/>
      </c>
      <c r="J14" s="28">
        <f>'Business case'!$B$5*C14</f>
        <v/>
      </c>
      <c r="K14" s="29">
        <f>J14*D14</f>
        <v/>
      </c>
      <c r="L14" s="24">
        <f>'Business case'!$B$7*E14</f>
        <v/>
      </c>
      <c r="M14" s="28">
        <f>ROUNDUP(J14*Inputs!$C$12/G14-1E-9,0)</f>
        <v/>
      </c>
      <c r="N14" s="23">
        <f>0.5</f>
        <v/>
      </c>
      <c r="O14" s="23">
        <f>F14^1+0.5</f>
        <v/>
      </c>
      <c r="P14" s="23">
        <f>F14^2+F14^1+0.5</f>
        <v/>
      </c>
      <c r="Q14" s="24">
        <f>((K14*L14*N14-K14*'Business case'!$B$14*(0+0.5))*I14-(M14*Inputs!$C$10+J14*H14+Inputs!$C$15))/(1+Inputs!$C$16)^1</f>
        <v/>
      </c>
      <c r="R14" s="24">
        <f>((K14*L14*O14-K14*'Business case'!$B$14*(1+0.5))*I14-(M14*Inputs!$C$10+J14*H14))/(1+Inputs!$C$16)^2</f>
        <v/>
      </c>
      <c r="S14" s="24">
        <f>((K14*L14*P14-K14*'Business case'!$B$14*(2+0.5))*I14-(M14*Inputs!$C$10+J14*H14))/(1+Inputs!$C$16)^3</f>
        <v/>
      </c>
      <c r="T14" s="21">
        <f>SUM(Q14:S14)</f>
        <v/>
      </c>
    </row>
    <row r="15">
      <c r="A15" s="4" t="inlineStr">
        <is>
          <t>retention</t>
        </is>
      </c>
      <c r="B15" s="4" t="inlineStr">
        <is>
          <t>low</t>
        </is>
      </c>
      <c r="C15" s="6">
        <f>Inputs!$C$5</f>
        <v/>
      </c>
      <c r="D15" s="6">
        <f>Inputs!$C$6</f>
        <v/>
      </c>
      <c r="E15" s="6">
        <f>Inputs!$C$7</f>
        <v/>
      </c>
      <c r="F15" s="27" t="n">
        <v>0.75</v>
      </c>
      <c r="G15" s="6">
        <f>Inputs!$C$11</f>
        <v/>
      </c>
      <c r="H15" s="6">
        <f>Inputs!$C$13</f>
        <v/>
      </c>
      <c r="I15" s="6">
        <f>Inputs!$C$14</f>
        <v/>
      </c>
      <c r="J15" s="28">
        <f>'Business case'!$B$5*C15</f>
        <v/>
      </c>
      <c r="K15" s="29">
        <f>J15*D15</f>
        <v/>
      </c>
      <c r="L15" s="24">
        <f>'Business case'!$B$7*E15</f>
        <v/>
      </c>
      <c r="M15" s="28">
        <f>ROUNDUP(J15*Inputs!$C$12/G15-1E-9,0)</f>
        <v/>
      </c>
      <c r="N15" s="23">
        <f>0.5</f>
        <v/>
      </c>
      <c r="O15" s="23">
        <f>F15^1+0.5</f>
        <v/>
      </c>
      <c r="P15" s="23">
        <f>F15^2+F15^1+0.5</f>
        <v/>
      </c>
      <c r="Q15" s="24">
        <f>((K15*L15*N15-K15*'Business case'!$B$14*(0+0.5))*I15-(M15*Inputs!$C$10+J15*H15+Inputs!$C$15))/(1+Inputs!$C$16)^1</f>
        <v/>
      </c>
      <c r="R15" s="24">
        <f>((K15*L15*O15-K15*'Business case'!$B$14*(1+0.5))*I15-(M15*Inputs!$C$10+J15*H15))/(1+Inputs!$C$16)^2</f>
        <v/>
      </c>
      <c r="S15" s="24">
        <f>((K15*L15*P15-K15*'Business case'!$B$14*(2+0.5))*I15-(M15*Inputs!$C$10+J15*H15))/(1+Inputs!$C$16)^3</f>
        <v/>
      </c>
      <c r="T15" s="21">
        <f>SUM(Q15:S15)</f>
        <v/>
      </c>
    </row>
    <row r="16">
      <c r="A16" s="4" t="inlineStr">
        <is>
          <t>retention</t>
        </is>
      </c>
      <c r="B16" s="4" t="inlineStr">
        <is>
          <t>high</t>
        </is>
      </c>
      <c r="C16" s="6">
        <f>Inputs!$C$5</f>
        <v/>
      </c>
      <c r="D16" s="6">
        <f>Inputs!$C$6</f>
        <v/>
      </c>
      <c r="E16" s="6">
        <f>Inputs!$C$7</f>
        <v/>
      </c>
      <c r="F16" s="27" t="n">
        <v>1.05</v>
      </c>
      <c r="G16" s="6">
        <f>Inputs!$C$11</f>
        <v/>
      </c>
      <c r="H16" s="6">
        <f>Inputs!$C$13</f>
        <v/>
      </c>
      <c r="I16" s="6">
        <f>Inputs!$C$14</f>
        <v/>
      </c>
      <c r="J16" s="28">
        <f>'Business case'!$B$5*C16</f>
        <v/>
      </c>
      <c r="K16" s="29">
        <f>J16*D16</f>
        <v/>
      </c>
      <c r="L16" s="24">
        <f>'Business case'!$B$7*E16</f>
        <v/>
      </c>
      <c r="M16" s="28">
        <f>ROUNDUP(J16*Inputs!$C$12/G16-1E-9,0)</f>
        <v/>
      </c>
      <c r="N16" s="23">
        <f>0.5</f>
        <v/>
      </c>
      <c r="O16" s="23">
        <f>F16^1+0.5</f>
        <v/>
      </c>
      <c r="P16" s="23">
        <f>F16^2+F16^1+0.5</f>
        <v/>
      </c>
      <c r="Q16" s="24">
        <f>((K16*L16*N16-K16*'Business case'!$B$14*(0+0.5))*I16-(M16*Inputs!$C$10+J16*H16+Inputs!$C$15))/(1+Inputs!$C$16)^1</f>
        <v/>
      </c>
      <c r="R16" s="24">
        <f>((K16*L16*O16-K16*'Business case'!$B$14*(1+0.5))*I16-(M16*Inputs!$C$10+J16*H16))/(1+Inputs!$C$16)^2</f>
        <v/>
      </c>
      <c r="S16" s="24">
        <f>((K16*L16*P16-K16*'Business case'!$B$14*(2+0.5))*I16-(M16*Inputs!$C$10+J16*H16))/(1+Inputs!$C$16)^3</f>
        <v/>
      </c>
      <c r="T16" s="21">
        <f>SUM(Q16:S16)</f>
        <v/>
      </c>
    </row>
    <row r="17">
      <c r="A17" s="4" t="inlineStr">
        <is>
          <t>gross_margin</t>
        </is>
      </c>
      <c r="B17" s="4" t="inlineStr">
        <is>
          <t>low</t>
        </is>
      </c>
      <c r="C17" s="6">
        <f>Inputs!$C$5</f>
        <v/>
      </c>
      <c r="D17" s="6">
        <f>Inputs!$C$6</f>
        <v/>
      </c>
      <c r="E17" s="6">
        <f>Inputs!$C$7</f>
        <v/>
      </c>
      <c r="F17" s="6">
        <f>Inputs!$C$8</f>
        <v/>
      </c>
      <c r="G17" s="6">
        <f>Inputs!$C$11</f>
        <v/>
      </c>
      <c r="H17" s="6">
        <f>Inputs!$C$13</f>
        <v/>
      </c>
      <c r="I17" s="27" t="n">
        <v>0.7</v>
      </c>
      <c r="J17" s="28">
        <f>'Business case'!$B$5*C17</f>
        <v/>
      </c>
      <c r="K17" s="29">
        <f>J17*D17</f>
        <v/>
      </c>
      <c r="L17" s="24">
        <f>'Business case'!$B$7*E17</f>
        <v/>
      </c>
      <c r="M17" s="28">
        <f>ROUNDUP(J17*Inputs!$C$12/G17-1E-9,0)</f>
        <v/>
      </c>
      <c r="N17" s="23">
        <f>0.5</f>
        <v/>
      </c>
      <c r="O17" s="23">
        <f>F17^1+0.5</f>
        <v/>
      </c>
      <c r="P17" s="23">
        <f>F17^2+F17^1+0.5</f>
        <v/>
      </c>
      <c r="Q17" s="24">
        <f>((K17*L17*N17-K17*'Business case'!$B$14*(0+0.5))*I17-(M17*Inputs!$C$10+J17*H17+Inputs!$C$15))/(1+Inputs!$C$16)^1</f>
        <v/>
      </c>
      <c r="R17" s="24">
        <f>((K17*L17*O17-K17*'Business case'!$B$14*(1+0.5))*I17-(M17*Inputs!$C$10+J17*H17))/(1+Inputs!$C$16)^2</f>
        <v/>
      </c>
      <c r="S17" s="24">
        <f>((K17*L17*P17-K17*'Business case'!$B$14*(2+0.5))*I17-(M17*Inputs!$C$10+J17*H17))/(1+Inputs!$C$16)^3</f>
        <v/>
      </c>
      <c r="T17" s="21">
        <f>SUM(Q17:S17)</f>
        <v/>
      </c>
    </row>
    <row r="18">
      <c r="A18" s="4" t="inlineStr">
        <is>
          <t>gross_margin</t>
        </is>
      </c>
      <c r="B18" s="4" t="inlineStr">
        <is>
          <t>high</t>
        </is>
      </c>
      <c r="C18" s="6">
        <f>Inputs!$C$5</f>
        <v/>
      </c>
      <c r="D18" s="6">
        <f>Inputs!$C$6</f>
        <v/>
      </c>
      <c r="E18" s="6">
        <f>Inputs!$C$7</f>
        <v/>
      </c>
      <c r="F18" s="6">
        <f>Inputs!$C$8</f>
        <v/>
      </c>
      <c r="G18" s="6">
        <f>Inputs!$C$11</f>
        <v/>
      </c>
      <c r="H18" s="6">
        <f>Inputs!$C$13</f>
        <v/>
      </c>
      <c r="I18" s="27" t="n">
        <v>0.82</v>
      </c>
      <c r="J18" s="28">
        <f>'Business case'!$B$5*C18</f>
        <v/>
      </c>
      <c r="K18" s="29">
        <f>J18*D18</f>
        <v/>
      </c>
      <c r="L18" s="24">
        <f>'Business case'!$B$7*E18</f>
        <v/>
      </c>
      <c r="M18" s="28">
        <f>ROUNDUP(J18*Inputs!$C$12/G18-1E-9,0)</f>
        <v/>
      </c>
      <c r="N18" s="23">
        <f>0.5</f>
        <v/>
      </c>
      <c r="O18" s="23">
        <f>F18^1+0.5</f>
        <v/>
      </c>
      <c r="P18" s="23">
        <f>F18^2+F18^1+0.5</f>
        <v/>
      </c>
      <c r="Q18" s="24">
        <f>((K18*L18*N18-K18*'Business case'!$B$14*(0+0.5))*I18-(M18*Inputs!$C$10+J18*H18+Inputs!$C$15))/(1+Inputs!$C$16)^1</f>
        <v/>
      </c>
      <c r="R18" s="24">
        <f>((K18*L18*O18-K18*'Business case'!$B$14*(1+0.5))*I18-(M18*Inputs!$C$10+J18*H18))/(1+Inputs!$C$16)^2</f>
        <v/>
      </c>
      <c r="S18" s="24">
        <f>((K18*L18*P18-K18*'Business case'!$B$14*(2+0.5))*I18-(M18*Inputs!$C$10+J18*H18))/(1+Inputs!$C$16)^3</f>
        <v/>
      </c>
      <c r="T18" s="21">
        <f>SUM(Q18:S18)</f>
        <v/>
      </c>
    </row>
    <row r="20">
      <c r="A20" s="14" t="inlineStr">
        <is>
          <t>Base case</t>
        </is>
      </c>
      <c r="T20" s="30">
        <f>'Business case'!$B$30</f>
        <v/>
      </c>
    </row>
  </sheetData>
  <conditionalFormatting sqref="T5:T18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0" customWidth="1" min="3" max="3"/>
    <col width="13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</cols>
  <sheetData>
    <row r="1">
      <c r="A1" s="12" t="inlineStr">
        <is>
          <t>Test design: can the test see the break-even uplift?</t>
        </is>
      </c>
    </row>
    <row r="2">
      <c r="A2" s="13" t="inlineStr">
        <is>
          <t>Per-arm sample size for two proportions (normal approximation). The bar is the break-even uplift from the business case.</t>
        </is>
      </c>
    </row>
    <row r="4" ht="32" customHeight="1">
      <c r="A4" s="22" t="inlineStr">
        <is>
          <t>Design</t>
        </is>
      </c>
      <c r="B4" s="22" t="inlineStr">
        <is>
          <t>Window (days)</t>
        </is>
      </c>
      <c r="C4" s="22" t="inlineStr">
        <is>
          <t>One-sided (1 = yes)</t>
        </is>
      </c>
      <c r="D4" s="22" t="inlineStr">
        <is>
          <t>Eligibility multiplier</t>
        </is>
      </c>
      <c r="E4" s="22" t="inlineStr">
        <is>
          <t>Control rate</t>
        </is>
      </c>
      <c r="F4" s="22" t="inlineStr">
        <is>
          <t>Treatment rate at break-even</t>
        </is>
      </c>
      <c r="G4" s="22" t="inlineStr">
        <is>
          <t>z alpha</t>
        </is>
      </c>
      <c r="H4" s="22" t="inlineStr">
        <is>
          <t>z power</t>
        </is>
      </c>
      <c r="I4" s="22" t="inlineStr">
        <is>
          <t>Per arm</t>
        </is>
      </c>
      <c r="J4" s="22" t="inlineStr">
        <is>
          <t>Needed</t>
        </is>
      </c>
      <c r="K4" s="22" t="inlineStr">
        <is>
          <t>Available</t>
        </is>
      </c>
      <c r="L4" s="22" t="inlineStr">
        <is>
          <t>Feasible</t>
        </is>
      </c>
    </row>
    <row r="5">
      <c r="A5" s="4" t="inlineStr">
        <is>
          <t>90 days, two-sided</t>
        </is>
      </c>
      <c r="B5" s="4" t="n">
        <v>90</v>
      </c>
      <c r="C5" s="4" t="n">
        <v>0</v>
      </c>
      <c r="D5" s="4" t="n">
        <v>1</v>
      </c>
      <c r="E5" s="31">
        <f>Inputs!$C$19*B5/90</f>
        <v/>
      </c>
      <c r="F5" s="31">
        <f>E5+'Business case'!$B$37/D5*B5/365</f>
        <v/>
      </c>
      <c r="G5" s="32">
        <f>NORMSINV(1-Inputs!$C$17/IF(C5=1,1,2))</f>
        <v/>
      </c>
      <c r="H5" s="32">
        <f>NORMSINV(Inputs!$C$18)</f>
        <v/>
      </c>
      <c r="I5" s="19">
        <f>ROUNDUP((G5+H5)^2*(E5*(1-E5)+F5*(1-F5))/(F5-E5)^2,0)</f>
        <v/>
      </c>
      <c r="J5" s="28">
        <f>2*I5</f>
        <v/>
      </c>
      <c r="K5" s="28">
        <f>'Business case'!$B$10*D5</f>
        <v/>
      </c>
      <c r="L5" s="14">
        <f>IF(J5&lt;=K5,"Yes","No")</f>
        <v/>
      </c>
    </row>
    <row r="6">
      <c r="A6" s="4" t="inlineStr">
        <is>
          <t>90 days, one-sided</t>
        </is>
      </c>
      <c r="B6" s="4" t="n">
        <v>90</v>
      </c>
      <c r="C6" s="4" t="n">
        <v>1</v>
      </c>
      <c r="D6" s="4" t="n">
        <v>1</v>
      </c>
      <c r="E6" s="31">
        <f>Inputs!$C$19*B6/90</f>
        <v/>
      </c>
      <c r="F6" s="31">
        <f>E6+'Business case'!$B$37/D6*B6/365</f>
        <v/>
      </c>
      <c r="G6" s="32">
        <f>NORMSINV(1-Inputs!$C$17/IF(C6=1,1,2))</f>
        <v/>
      </c>
      <c r="H6" s="32">
        <f>NORMSINV(Inputs!$C$18)</f>
        <v/>
      </c>
      <c r="I6" s="19">
        <f>ROUNDUP((G6+H6)^2*(E6*(1-E6)+F6*(1-F6))/(F6-E6)^2,0)</f>
        <v/>
      </c>
      <c r="J6" s="28">
        <f>2*I6</f>
        <v/>
      </c>
      <c r="K6" s="28">
        <f>'Business case'!$B$10*D6</f>
        <v/>
      </c>
      <c r="L6" s="14">
        <f>IF(J6&lt;=K6,"Yes","No")</f>
        <v/>
      </c>
    </row>
    <row r="7">
      <c r="A7" s="4" t="inlineStr">
        <is>
          <t>180 days, one-sided</t>
        </is>
      </c>
      <c r="B7" s="4" t="n">
        <v>180</v>
      </c>
      <c r="C7" s="4" t="n">
        <v>1</v>
      </c>
      <c r="D7" s="4" t="n">
        <v>1</v>
      </c>
      <c r="E7" s="31">
        <f>Inputs!$C$19*B7/90</f>
        <v/>
      </c>
      <c r="F7" s="31">
        <f>E7+'Business case'!$B$37/D7*B7/365</f>
        <v/>
      </c>
      <c r="G7" s="32">
        <f>NORMSINV(1-Inputs!$C$17/IF(C7=1,1,2))</f>
        <v/>
      </c>
      <c r="H7" s="32">
        <f>NORMSINV(Inputs!$C$18)</f>
        <v/>
      </c>
      <c r="I7" s="19">
        <f>ROUNDUP((G7+H7)^2*(E7*(1-E7)+F7*(1-F7))/(F7-E7)^2,0)</f>
        <v/>
      </c>
      <c r="J7" s="28">
        <f>2*I7</f>
        <v/>
      </c>
      <c r="K7" s="28">
        <f>'Business case'!$B$10*D7</f>
        <v/>
      </c>
      <c r="L7" s="14">
        <f>IF(J7&lt;=K7,"Yes","No")</f>
        <v/>
      </c>
    </row>
    <row r="8">
      <c r="A8" s="4" t="inlineStr">
        <is>
          <t>90 days, one-sided, eligibility doubled</t>
        </is>
      </c>
      <c r="B8" s="4" t="n">
        <v>90</v>
      </c>
      <c r="C8" s="4" t="n">
        <v>1</v>
      </c>
      <c r="D8" s="4" t="n">
        <v>2</v>
      </c>
      <c r="E8" s="31">
        <f>Inputs!$C$19*B8/90</f>
        <v/>
      </c>
      <c r="F8" s="31">
        <f>E8+'Business case'!$B$37/D8*B8/365</f>
        <v/>
      </c>
      <c r="G8" s="32">
        <f>NORMSINV(1-Inputs!$C$17/IF(C8=1,1,2))</f>
        <v/>
      </c>
      <c r="H8" s="32">
        <f>NORMSINV(Inputs!$C$18)</f>
        <v/>
      </c>
      <c r="I8" s="19">
        <f>ROUNDUP((G8+H8)^2*(E8*(1-E8)+F8*(1-F8))/(F8-E8)^2,0)</f>
        <v/>
      </c>
      <c r="J8" s="28">
        <f>2*I8</f>
        <v/>
      </c>
      <c r="K8" s="28">
        <f>'Business case'!$B$10*D8</f>
        <v/>
      </c>
      <c r="L8" s="14">
        <f>IF(J8&lt;=K8,"Yes","No")</f>
        <v/>
      </c>
    </row>
    <row r="10">
      <c r="A10" s="13" t="inlineStr">
        <is>
          <t>Doubling eligibility brings in weaker accounts: the uplift per account is assumed to halve.</t>
        </is>
      </c>
    </row>
  </sheetData>
  <conditionalFormatting sqref="L5:L8">
    <cfRule type="cellIs" priority="1" operator="equal" dxfId="1">
      <formula>"Yes"</formula>
    </cfRule>
    <cfRule type="cellIs" priority="2" operator="equal" dxfId="0">
      <formula>"No"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</cols>
  <sheetData>
    <row r="1">
      <c r="A1" s="12" t="inlineStr">
        <is>
          <t>Test readout: paste the counts, read the decision</t>
        </is>
      </c>
    </row>
    <row r="2">
      <c r="A2" s="13" t="inlineStr">
        <is>
          <t>Filled with one simulated run of the 180-day design (true uplift 1% a year). Simulated, not Vimeo data.</t>
        </is>
      </c>
    </row>
    <row r="4" ht="20" customHeight="1">
      <c r="A4" s="22" t="inlineStr"/>
      <c r="B4" s="22" t="inlineStr">
        <is>
          <t>Control</t>
        </is>
      </c>
      <c r="C4" s="22" t="inlineStr">
        <is>
          <t>Treatment</t>
        </is>
      </c>
    </row>
    <row r="5">
      <c r="A5" s="5" t="inlineStr">
        <is>
          <t>Accounts</t>
        </is>
      </c>
      <c r="B5" s="33" t="n">
        <v>11204</v>
      </c>
      <c r="C5" s="33" t="n">
        <v>11354</v>
      </c>
    </row>
    <row r="6">
      <c r="A6" s="5" t="inlineStr">
        <is>
          <t>Upgrades in the window</t>
        </is>
      </c>
      <c r="B6" s="33" t="n">
        <v>91</v>
      </c>
      <c r="C6" s="33" t="n">
        <v>133</v>
      </c>
    </row>
    <row r="7">
      <c r="A7" s="5" t="inlineStr">
        <is>
          <t>Self-Serve cancellations in the window</t>
        </is>
      </c>
      <c r="B7" s="33" t="n">
        <v>662</v>
      </c>
      <c r="C7" s="33" t="n">
        <v>646</v>
      </c>
    </row>
    <row r="8">
      <c r="A8" s="5" t="inlineStr">
        <is>
          <t>Window, days</t>
        </is>
      </c>
      <c r="B8" s="4" t="n">
        <v>180</v>
      </c>
    </row>
    <row r="10">
      <c r="A10" s="5" t="inlineStr">
        <is>
          <t>Upgrade rate, control</t>
        </is>
      </c>
      <c r="B10" s="31">
        <f>B6/B5</f>
        <v/>
      </c>
    </row>
    <row r="11">
      <c r="A11" s="5" t="inlineStr">
        <is>
          <t>Upgrade rate, treatment</t>
        </is>
      </c>
      <c r="B11" s="31">
        <f>C6/C5</f>
        <v/>
      </c>
    </row>
    <row r="12">
      <c r="A12" s="5" t="inlineStr">
        <is>
          <t>Difference</t>
        </is>
      </c>
      <c r="B12" s="31">
        <f>B11-B10</f>
        <v/>
      </c>
    </row>
    <row r="13">
      <c r="A13" s="5" t="inlineStr">
        <is>
          <t>Standard error</t>
        </is>
      </c>
      <c r="B13" s="34">
        <f>SQRT(B10*(1-B10)/B5+B11*(1-B11)/C5)</f>
        <v/>
      </c>
    </row>
    <row r="14">
      <c r="A14" s="5" t="inlineStr">
        <is>
          <t>One-sided 95% lower bound</t>
        </is>
      </c>
      <c r="B14" s="31">
        <f>B12-NORMSINV(1-Inputs!$C$17)*B13</f>
        <v/>
      </c>
    </row>
    <row r="15">
      <c r="A15" s="5" t="inlineStr">
        <is>
          <t>Break-even difference in the window</t>
        </is>
      </c>
      <c r="B15" s="31">
        <f>'Business case'!$B$37*B8/365</f>
        <v/>
      </c>
    </row>
    <row r="16">
      <c r="A16" s="5" t="inlineStr">
        <is>
          <t>Uplift per year, estimate</t>
        </is>
      </c>
      <c r="B16" s="35">
        <f>B12*365/B8</f>
        <v/>
      </c>
    </row>
    <row r="17">
      <c r="A17" s="5" t="inlineStr">
        <is>
          <t>Sample ratio check, p-value</t>
        </is>
      </c>
      <c r="B17" s="32">
        <f>2*(1-NORMSDIST(SQRT(((B5-(B5+C5)/2)^2+(C5-(B5+C5)/2)^2)/((B5+C5)/2))))</f>
        <v/>
      </c>
    </row>
    <row r="18">
      <c r="A18" s="5" t="inlineStr">
        <is>
          <t>Cancellations, difference</t>
        </is>
      </c>
      <c r="B18" s="35">
        <f>C7/C5-B7/B5</f>
        <v/>
      </c>
    </row>
    <row r="19">
      <c r="A19" s="5" t="inlineStr">
        <is>
          <t>Cancellations, upper bound</t>
        </is>
      </c>
      <c r="B19" s="35">
        <f>B18+NORMSINV(1-Inputs!$C$17)*SQRT(B7/B5*(1-B7/B5)/B5+C7/C5*(1-C7/C5)/C5)</f>
        <v/>
      </c>
    </row>
    <row r="20">
      <c r="A20" s="5" t="inlineStr">
        <is>
          <t>Largest rise accepted in the window</t>
        </is>
      </c>
      <c r="B20" s="35">
        <f>Inputs!$C$21*B8/90</f>
        <v/>
      </c>
    </row>
    <row r="22">
      <c r="A22" s="36" t="inlineStr">
        <is>
          <t>Decision</t>
        </is>
      </c>
      <c r="B22" s="36">
        <f>IF(B17&lt;0.001,"Stop: the split is broken, fix assignment and rerun",IF(B14&lt;=0,"Stop or redesign: no detectable uplift",IF(B19&gt;=B20,"Do not scale: outreach may be pushing Self-Serve customers away",IF(B12&gt;=B15,"Scale: the uplift is real and above break-even","Iterate: the uplift is real but below break-even; cheaper outreach or better targeting first"))))</f>
        <v/>
      </c>
    </row>
    <row r="24">
      <c r="A24" s="13" t="inlineStr">
        <is>
          <t>Rule, in order: a broken split invalidates the test; without an uplift there is nothing to protect; then the guardrail; then the business bar.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6" customWidth="1" min="4" max="4"/>
    <col width="14" customWidth="1" min="5" max="5"/>
    <col width="16" customWidth="1" min="6" max="6"/>
    <col width="16" customWidth="1" min="7" max="7"/>
    <col width="14" customWidth="1" min="8" max="8"/>
  </cols>
  <sheetData>
    <row r="1">
      <c r="A1" s="12" t="inlineStr">
        <is>
          <t>Is the test worth running?</t>
        </is>
      </c>
    </row>
    <row r="2">
      <c r="A2" s="13" t="inlineStr">
        <is>
          <t>Each option's expected value under a prior belief about the real uplift. NPV is linear in the uplift, so it comes straight from the business case; the chance that the test says 'Scale' comes from simulated tests (blue).</t>
        </is>
      </c>
    </row>
    <row r="4">
      <c r="A4" s="5" t="inlineStr">
        <is>
          <t>Test window, days</t>
        </is>
      </c>
      <c r="B4" s="6">
        <f>INDEX('Test design'!B5:B8,MATCH("Yes",'Test design'!L5:L8,0))</f>
        <v/>
      </c>
    </row>
    <row r="5">
      <c r="A5" s="5" t="inlineStr">
        <is>
          <t>Cost of the test (build, outreach to the treated half, one account executive)</t>
        </is>
      </c>
      <c r="B5" s="24">
        <f>'Business case'!$B$10/2*Inputs!$C$13*B4/365+1*Inputs!$C$10*B4/365+Inputs!$C$15</f>
        <v/>
      </c>
    </row>
    <row r="6">
      <c r="A6" s="5" t="inlineStr">
        <is>
          <t>Delay factor for value after the test</t>
        </is>
      </c>
      <c r="B6" s="25">
        <f>1/(1+Inputs!$C$16)^(B4/365)</f>
        <v/>
      </c>
    </row>
    <row r="8" ht="44" customHeight="1">
      <c r="A8" s="22" t="inlineStr">
        <is>
          <t>True uplift</t>
        </is>
      </c>
      <c r="B8" s="22" t="inlineStr">
        <is>
          <t>Prior: sceptical</t>
        </is>
      </c>
      <c r="C8" s="22" t="inlineStr">
        <is>
          <t>Prior: optimistic</t>
        </is>
      </c>
      <c r="D8" s="22" t="inlineStr">
        <is>
          <t>NPV if launched now</t>
        </is>
      </c>
      <c r="E8" s="22" t="inlineStr">
        <is>
          <t>Chance the test says Scale</t>
        </is>
      </c>
      <c r="F8" s="22" t="inlineStr">
        <is>
          <t>Value if scaled after the test</t>
        </is>
      </c>
      <c r="G8" s="22" t="inlineStr">
        <is>
          <t>Test-first value</t>
        </is>
      </c>
      <c r="H8" s="22" t="inlineStr">
        <is>
          <t>NPV, if positive</t>
        </is>
      </c>
    </row>
    <row r="9">
      <c r="A9" s="37" t="n">
        <v>0</v>
      </c>
      <c r="B9" s="38" t="n">
        <v>0.25</v>
      </c>
      <c r="C9" s="38" t="n">
        <v>0.1</v>
      </c>
      <c r="D9" s="24">
        <f>'Business case'!$B$35*A9-'Business case'!$B$36</f>
        <v/>
      </c>
      <c r="E9" s="39" t="n">
        <v>0</v>
      </c>
      <c r="F9" s="24">
        <f>(D9+Inputs!$C$15/(1+Inputs!$C$16))*$B$6</f>
        <v/>
      </c>
      <c r="G9" s="24">
        <f>E9*F9-$B$5</f>
        <v/>
      </c>
      <c r="H9" s="24">
        <f>MAX(0,D9)</f>
        <v/>
      </c>
    </row>
    <row r="10">
      <c r="A10" s="37" t="n">
        <v>0.004</v>
      </c>
      <c r="B10" s="38" t="n">
        <v>0.2</v>
      </c>
      <c r="C10" s="38" t="n">
        <v>0.1</v>
      </c>
      <c r="D10" s="24">
        <f>'Business case'!$B$35*A10-'Business case'!$B$36</f>
        <v/>
      </c>
      <c r="E10" s="39" t="n">
        <v>0.1366666666666667</v>
      </c>
      <c r="F10" s="24">
        <f>(D10+Inputs!$C$15/(1+Inputs!$C$16))*$B$6</f>
        <v/>
      </c>
      <c r="G10" s="24">
        <f>E10*F10-$B$5</f>
        <v/>
      </c>
      <c r="H10" s="24">
        <f>MAX(0,D10)</f>
        <v/>
      </c>
    </row>
    <row r="11">
      <c r="A11" s="37" t="n">
        <v>0.007</v>
      </c>
      <c r="B11" s="38" t="n">
        <v>0.2</v>
      </c>
      <c r="C11" s="38" t="n">
        <v>0.2</v>
      </c>
      <c r="D11" s="24">
        <f>'Business case'!$B$35*A11-'Business case'!$B$36</f>
        <v/>
      </c>
      <c r="E11" s="39" t="n">
        <v>0.5566666666666666</v>
      </c>
      <c r="F11" s="24">
        <f>(D11+Inputs!$C$15/(1+Inputs!$C$16))*$B$6</f>
        <v/>
      </c>
      <c r="G11" s="24">
        <f>E11*F11-$B$5</f>
        <v/>
      </c>
      <c r="H11" s="24">
        <f>MAX(0,D11)</f>
        <v/>
      </c>
    </row>
    <row r="12">
      <c r="A12" s="37" t="n">
        <v>0.01</v>
      </c>
      <c r="B12" s="38" t="n">
        <v>0.2</v>
      </c>
      <c r="C12" s="38" t="n">
        <v>0.3</v>
      </c>
      <c r="D12" s="24">
        <f>'Business case'!$B$35*A12-'Business case'!$B$36</f>
        <v/>
      </c>
      <c r="E12" s="39" t="n">
        <v>0.8233333333333334</v>
      </c>
      <c r="F12" s="24">
        <f>(D12+Inputs!$C$15/(1+Inputs!$C$16))*$B$6</f>
        <v/>
      </c>
      <c r="G12" s="24">
        <f>E12*F12-$B$5</f>
        <v/>
      </c>
      <c r="H12" s="24">
        <f>MAX(0,D12)</f>
        <v/>
      </c>
    </row>
    <row r="13">
      <c r="A13" s="37" t="n">
        <v>0.015</v>
      </c>
      <c r="B13" s="38" t="n">
        <v>0.15</v>
      </c>
      <c r="C13" s="38" t="n">
        <v>0.3</v>
      </c>
      <c r="D13" s="24">
        <f>'Business case'!$B$35*A13-'Business case'!$B$36</f>
        <v/>
      </c>
      <c r="E13" s="39" t="n">
        <v>0.9399999999999999</v>
      </c>
      <c r="F13" s="24">
        <f>(D13+Inputs!$C$15/(1+Inputs!$C$16))*$B$6</f>
        <v/>
      </c>
      <c r="G13" s="24">
        <f>E13*F13-$B$5</f>
        <v/>
      </c>
      <c r="H13" s="24">
        <f>MAX(0,D13)</f>
        <v/>
      </c>
    </row>
    <row r="15" ht="20" customHeight="1">
      <c r="A15" s="22" t="inlineStr">
        <is>
          <t>Under the prior</t>
        </is>
      </c>
      <c r="B15" s="22" t="inlineStr">
        <is>
          <t>sceptical</t>
        </is>
      </c>
      <c r="C15" s="22" t="inlineStr">
        <is>
          <t>optimistic</t>
        </is>
      </c>
    </row>
    <row r="16">
      <c r="A16" s="5" t="inlineStr">
        <is>
          <t>Launch now</t>
        </is>
      </c>
      <c r="B16" s="24">
        <f>SUMPRODUCT(B9:B13,D9:D13)</f>
        <v/>
      </c>
      <c r="C16" s="24">
        <f>SUMPRODUCT(C9:C13,D9:D13)</f>
        <v/>
      </c>
    </row>
    <row r="17">
      <c r="A17" s="5" t="inlineStr">
        <is>
          <t>Do nothing</t>
        </is>
      </c>
      <c r="B17" s="24">
        <f>0</f>
        <v/>
      </c>
      <c r="C17" s="24">
        <f>0</f>
        <v/>
      </c>
    </row>
    <row r="18">
      <c r="A18" s="14" t="inlineStr">
        <is>
          <t>Test first, then follow the rule</t>
        </is>
      </c>
      <c r="B18" s="21">
        <f>SUMPRODUCT(B9:B13,G9:G13)</f>
        <v/>
      </c>
      <c r="C18" s="21">
        <f>SUMPRODUCT(C9:C13,G9:G13)</f>
        <v/>
      </c>
    </row>
    <row r="19">
      <c r="A19" s="5" t="inlineStr">
        <is>
          <t>Value of perfect information</t>
        </is>
      </c>
      <c r="B19" s="24">
        <f>SUMPRODUCT(B9:B13,H9:H13)-MAX(0,SUMPRODUCT(B9:B13,D9:D13))</f>
        <v/>
      </c>
      <c r="C19" s="24">
        <f>SUMPRODUCT(C9:C13,H9:H13)-MAX(0,SUMPRODUCT(C9:C13,D9:D13))</f>
        <v/>
      </c>
    </row>
    <row r="20">
      <c r="A20" s="14" t="inlineStr">
        <is>
          <t>Value of running the test</t>
        </is>
      </c>
      <c r="B20" s="40">
        <f>B18-MAX(0,B16)</f>
        <v/>
      </c>
      <c r="C20" s="40">
        <f>C18-MAX(0,C16)</f>
        <v/>
      </c>
    </row>
    <row r="21">
      <c r="A21" s="14" t="inlineStr">
        <is>
          <t>Best option</t>
        </is>
      </c>
      <c r="B21" s="14">
        <f>IF(AND(B18&gt;=B16,B18&gt;=0),"Test first",IF(B16&gt;=0,"Launch now","Do nothing"))</f>
        <v/>
      </c>
      <c r="C21" s="14">
        <f>IF(AND(C18&gt;=C16,C18&gt;=0),"Test first",IF(C16&gt;=0,"Launch now","Do nothing"))</f>
        <v/>
      </c>
    </row>
    <row r="23">
      <c r="A23" s="13" t="inlineStr">
        <is>
          <t>The test's own upgrades are not counted, which understates its value slightly. The chance of 'Scale' at an uplift below break-even is the rule's cost: it can scale a bet that loses.</t>
        </is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2" t="inlineStr">
        <is>
          <t>Revenue bridge: volume and price</t>
        </is>
      </c>
    </row>
    <row r="2">
      <c r="A2" s="13" t="inlineStr">
        <is>
          <t>Change in revenue = change in average subscribers at the mid ARPU (volume) + change in ARPU at the mid subscriber count (price), with ARPU brought back to each period's days; the rest is the rounding of published ARPU. US$ millions.</t>
        </is>
      </c>
    </row>
    <row r="4" ht="32" customHeight="1">
      <c r="A4" s="22" t="inlineStr">
        <is>
          <t>From</t>
        </is>
      </c>
      <c r="B4" s="22" t="inlineStr">
        <is>
          <t>To</t>
        </is>
      </c>
      <c r="C4" s="22" t="inlineStr">
        <is>
          <t>Segment</t>
        </is>
      </c>
      <c r="D4" s="22" t="inlineStr">
        <is>
          <t>Revenue from</t>
        </is>
      </c>
      <c r="E4" s="22" t="inlineStr">
        <is>
          <t>Revenue to</t>
        </is>
      </c>
      <c r="F4" s="22" t="inlineStr">
        <is>
          <t>Volume</t>
        </is>
      </c>
      <c r="G4" s="22" t="inlineStr">
        <is>
          <t>Price</t>
        </is>
      </c>
      <c r="H4" s="22" t="inlineStr">
        <is>
          <t>Rounding</t>
        </is>
      </c>
      <c r="I4" s="22" t="inlineStr">
        <is>
          <t>Change</t>
        </is>
      </c>
    </row>
    <row r="5">
      <c r="A5" s="4" t="inlineStr">
        <is>
          <t>2021</t>
        </is>
      </c>
      <c r="B5" s="4" t="inlineStr">
        <is>
          <t>2022</t>
        </is>
      </c>
      <c r="C5" s="4" t="inlineStr">
        <is>
          <t>Self-Serve &amp; Add-Ons</t>
        </is>
      </c>
      <c r="D5" s="41">
        <f>INDEX(Segments!$I$5:$I$46,MATCH("2022|2021|Self-Serve &amp; Add-Ons",Segments!$A$5:$A$46,0))/1000</f>
        <v/>
      </c>
      <c r="E5" s="41">
        <f>INDEX(Segments!$I$5:$I$46,MATCH("2022|2022|Self-Serve &amp; Add-Ons",Segments!$A$5:$A$46,0))/1000</f>
        <v/>
      </c>
      <c r="F5" s="23">
        <f>(INDEX(Segments!$F$5:$F$46,MATCH("2022|2022|Self-Serve &amp; Add-Ons",Segments!$A$5:$A$46,0))-INDEX(Segments!$F$5:$F$46,MATCH("2022|2021|Self-Serve &amp; Add-Ons",Segments!$A$5:$A$46,0)))*(INDEX(Segments!$G$5:$G$46,MATCH("2022|2021|Self-Serve &amp; Add-Ons",Segments!$A$5:$A$46,0))*365/365+INDEX(Segments!$G$5:$G$46,MATCH("2022|2022|Self-Serve &amp; Add-Ons",Segments!$A$5:$A$46,0))*365/365)/2/1000</f>
        <v/>
      </c>
      <c r="G5" s="23">
        <f>(INDEX(Segments!$G$5:$G$46,MATCH("2022|2022|Self-Serve &amp; Add-Ons",Segments!$A$5:$A$46,0))*365/365-INDEX(Segments!$G$5:$G$46,MATCH("2022|2021|Self-Serve &amp; Add-Ons",Segments!$A$5:$A$46,0))*365/365)*(INDEX(Segments!$F$5:$F$46,MATCH("2022|2021|Self-Serve &amp; Add-Ons",Segments!$A$5:$A$46,0))+INDEX(Segments!$F$5:$F$46,MATCH("2022|2022|Self-Serve &amp; Add-Ons",Segments!$A$5:$A$46,0)))/2/1000</f>
        <v/>
      </c>
      <c r="H5" s="23">
        <f>E5-D5-F5-G5</f>
        <v/>
      </c>
      <c r="I5" s="42">
        <f>E5-D5</f>
        <v/>
      </c>
    </row>
    <row r="6">
      <c r="A6" s="4" t="inlineStr">
        <is>
          <t>2021</t>
        </is>
      </c>
      <c r="B6" s="4" t="inlineStr">
        <is>
          <t>2022</t>
        </is>
      </c>
      <c r="C6" s="4" t="inlineStr">
        <is>
          <t>Vimeo Enterprise</t>
        </is>
      </c>
      <c r="D6" s="41">
        <f>INDEX(Segments!$I$5:$I$46,MATCH("2022|2021|Vimeo Enterprise",Segments!$A$5:$A$46,0))/1000</f>
        <v/>
      </c>
      <c r="E6" s="41">
        <f>INDEX(Segments!$I$5:$I$46,MATCH("2022|2022|Vimeo Enterprise",Segments!$A$5:$A$46,0))/1000</f>
        <v/>
      </c>
      <c r="F6" s="23">
        <f>(INDEX(Segments!$F$5:$F$46,MATCH("2022|2022|Vimeo Enterprise",Segments!$A$5:$A$46,0))-INDEX(Segments!$F$5:$F$46,MATCH("2022|2021|Vimeo Enterprise",Segments!$A$5:$A$46,0)))*(INDEX(Segments!$G$5:$G$46,MATCH("2022|2021|Vimeo Enterprise",Segments!$A$5:$A$46,0))*365/365+INDEX(Segments!$G$5:$G$46,MATCH("2022|2022|Vimeo Enterprise",Segments!$A$5:$A$46,0))*365/365)/2/1000</f>
        <v/>
      </c>
      <c r="G6" s="23">
        <f>(INDEX(Segments!$G$5:$G$46,MATCH("2022|2022|Vimeo Enterprise",Segments!$A$5:$A$46,0))*365/365-INDEX(Segments!$G$5:$G$46,MATCH("2022|2021|Vimeo Enterprise",Segments!$A$5:$A$46,0))*365/365)*(INDEX(Segments!$F$5:$F$46,MATCH("2022|2021|Vimeo Enterprise",Segments!$A$5:$A$46,0))+INDEX(Segments!$F$5:$F$46,MATCH("2022|2022|Vimeo Enterprise",Segments!$A$5:$A$46,0)))/2/1000</f>
        <v/>
      </c>
      <c r="H6" s="23">
        <f>E6-D6-F6-G6</f>
        <v/>
      </c>
      <c r="I6" s="42">
        <f>E6-D6</f>
        <v/>
      </c>
    </row>
    <row r="7">
      <c r="A7" s="4" t="inlineStr">
        <is>
          <t>2021</t>
        </is>
      </c>
      <c r="B7" s="4" t="inlineStr">
        <is>
          <t>2022</t>
        </is>
      </c>
      <c r="C7" s="4" t="inlineStr">
        <is>
          <t>Other</t>
        </is>
      </c>
      <c r="D7" s="41">
        <f>INDEX(Segments!$I$5:$I$46,MATCH("2022|2021|Other",Segments!$A$5:$A$46,0))/1000</f>
        <v/>
      </c>
      <c r="E7" s="41">
        <f>INDEX(Segments!$I$5:$I$46,MATCH("2022|2022|Other",Segments!$A$5:$A$46,0))/1000</f>
        <v/>
      </c>
      <c r="F7" s="23">
        <f>(INDEX(Segments!$F$5:$F$46,MATCH("2022|2022|Other",Segments!$A$5:$A$46,0))-INDEX(Segments!$F$5:$F$46,MATCH("2022|2021|Other",Segments!$A$5:$A$46,0)))*(INDEX(Segments!$G$5:$G$46,MATCH("2022|2021|Other",Segments!$A$5:$A$46,0))*365/365+INDEX(Segments!$G$5:$G$46,MATCH("2022|2022|Other",Segments!$A$5:$A$46,0))*365/365)/2/1000</f>
        <v/>
      </c>
      <c r="G7" s="23">
        <f>(INDEX(Segments!$G$5:$G$46,MATCH("2022|2022|Other",Segments!$A$5:$A$46,0))*365/365-INDEX(Segments!$G$5:$G$46,MATCH("2022|2021|Other",Segments!$A$5:$A$46,0))*365/365)*(INDEX(Segments!$F$5:$F$46,MATCH("2022|2021|Other",Segments!$A$5:$A$46,0))+INDEX(Segments!$F$5:$F$46,MATCH("2022|2022|Other",Segments!$A$5:$A$46,0)))/2/1000</f>
        <v/>
      </c>
      <c r="H7" s="23">
        <f>E7-D7-F7-G7</f>
        <v/>
      </c>
      <c r="I7" s="42">
        <f>E7-D7</f>
        <v/>
      </c>
    </row>
    <row r="8">
      <c r="A8" s="4" t="inlineStr">
        <is>
          <t>2022</t>
        </is>
      </c>
      <c r="B8" s="4" t="inlineStr">
        <is>
          <t>2023</t>
        </is>
      </c>
      <c r="C8" s="4" t="inlineStr">
        <is>
          <t>Self-Serve &amp; Add-Ons</t>
        </is>
      </c>
      <c r="D8" s="41">
        <f>INDEX(Segments!$I$5:$I$46,MATCH("2022|2022|Self-Serve &amp; Add-Ons",Segments!$A$5:$A$46,0))/1000</f>
        <v/>
      </c>
      <c r="E8" s="41">
        <f>INDEX(Segments!$I$5:$I$46,MATCH("2022|2023|Self-Serve &amp; Add-Ons",Segments!$A$5:$A$46,0))/1000</f>
        <v/>
      </c>
      <c r="F8" s="23">
        <f>(INDEX(Segments!$F$5:$F$46,MATCH("2022|2023|Self-Serve &amp; Add-Ons",Segments!$A$5:$A$46,0))-INDEX(Segments!$F$5:$F$46,MATCH("2022|2022|Self-Serve &amp; Add-Ons",Segments!$A$5:$A$46,0)))*(INDEX(Segments!$G$5:$G$46,MATCH("2022|2022|Self-Serve &amp; Add-Ons",Segments!$A$5:$A$46,0))*365/365+INDEX(Segments!$G$5:$G$46,MATCH("2022|2023|Self-Serve &amp; Add-Ons",Segments!$A$5:$A$46,0))*365/365)/2/1000</f>
        <v/>
      </c>
      <c r="G8" s="23">
        <f>(INDEX(Segments!$G$5:$G$46,MATCH("2022|2023|Self-Serve &amp; Add-Ons",Segments!$A$5:$A$46,0))*365/365-INDEX(Segments!$G$5:$G$46,MATCH("2022|2022|Self-Serve &amp; Add-Ons",Segments!$A$5:$A$46,0))*365/365)*(INDEX(Segments!$F$5:$F$46,MATCH("2022|2022|Self-Serve &amp; Add-Ons",Segments!$A$5:$A$46,0))+INDEX(Segments!$F$5:$F$46,MATCH("2022|2023|Self-Serve &amp; Add-Ons",Segments!$A$5:$A$46,0)))/2/1000</f>
        <v/>
      </c>
      <c r="H8" s="23">
        <f>E8-D8-F8-G8</f>
        <v/>
      </c>
      <c r="I8" s="42">
        <f>E8-D8</f>
        <v/>
      </c>
    </row>
    <row r="9">
      <c r="A9" s="4" t="inlineStr">
        <is>
          <t>2022</t>
        </is>
      </c>
      <c r="B9" s="4" t="inlineStr">
        <is>
          <t>2023</t>
        </is>
      </c>
      <c r="C9" s="4" t="inlineStr">
        <is>
          <t>Vimeo Enterprise</t>
        </is>
      </c>
      <c r="D9" s="41">
        <f>INDEX(Segments!$I$5:$I$46,MATCH("2022|2022|Vimeo Enterprise",Segments!$A$5:$A$46,0))/1000</f>
        <v/>
      </c>
      <c r="E9" s="41">
        <f>INDEX(Segments!$I$5:$I$46,MATCH("2022|2023|Vimeo Enterprise",Segments!$A$5:$A$46,0))/1000</f>
        <v/>
      </c>
      <c r="F9" s="23">
        <f>(INDEX(Segments!$F$5:$F$46,MATCH("2022|2023|Vimeo Enterprise",Segments!$A$5:$A$46,0))-INDEX(Segments!$F$5:$F$46,MATCH("2022|2022|Vimeo Enterprise",Segments!$A$5:$A$46,0)))*(INDEX(Segments!$G$5:$G$46,MATCH("2022|2022|Vimeo Enterprise",Segments!$A$5:$A$46,0))*365/365+INDEX(Segments!$G$5:$G$46,MATCH("2022|2023|Vimeo Enterprise",Segments!$A$5:$A$46,0))*365/365)/2/1000</f>
        <v/>
      </c>
      <c r="G9" s="23">
        <f>(INDEX(Segments!$G$5:$G$46,MATCH("2022|2023|Vimeo Enterprise",Segments!$A$5:$A$46,0))*365/365-INDEX(Segments!$G$5:$G$46,MATCH("2022|2022|Vimeo Enterprise",Segments!$A$5:$A$46,0))*365/365)*(INDEX(Segments!$F$5:$F$46,MATCH("2022|2022|Vimeo Enterprise",Segments!$A$5:$A$46,0))+INDEX(Segments!$F$5:$F$46,MATCH("2022|2023|Vimeo Enterprise",Segments!$A$5:$A$46,0)))/2/1000</f>
        <v/>
      </c>
      <c r="H9" s="23">
        <f>E9-D9-F9-G9</f>
        <v/>
      </c>
      <c r="I9" s="42">
        <f>E9-D9</f>
        <v/>
      </c>
    </row>
    <row r="10">
      <c r="A10" s="4" t="inlineStr">
        <is>
          <t>2022</t>
        </is>
      </c>
      <c r="B10" s="4" t="inlineStr">
        <is>
          <t>2023</t>
        </is>
      </c>
      <c r="C10" s="4" t="inlineStr">
        <is>
          <t>Other</t>
        </is>
      </c>
      <c r="D10" s="41">
        <f>INDEX(Segments!$I$5:$I$46,MATCH("2022|2022|Other",Segments!$A$5:$A$46,0))/1000</f>
        <v/>
      </c>
      <c r="E10" s="41">
        <f>INDEX(Segments!$I$5:$I$46,MATCH("2022|2023|Other",Segments!$A$5:$A$46,0))/1000</f>
        <v/>
      </c>
      <c r="F10" s="23">
        <f>(INDEX(Segments!$F$5:$F$46,MATCH("2022|2023|Other",Segments!$A$5:$A$46,0))-INDEX(Segments!$F$5:$F$46,MATCH("2022|2022|Other",Segments!$A$5:$A$46,0)))*(INDEX(Segments!$G$5:$G$46,MATCH("2022|2022|Other",Segments!$A$5:$A$46,0))*365/365+INDEX(Segments!$G$5:$G$46,MATCH("2022|2023|Other",Segments!$A$5:$A$46,0))*365/365)/2/1000</f>
        <v/>
      </c>
      <c r="G10" s="23">
        <f>(INDEX(Segments!$G$5:$G$46,MATCH("2022|2023|Other",Segments!$A$5:$A$46,0))*365/365-INDEX(Segments!$G$5:$G$46,MATCH("2022|2022|Other",Segments!$A$5:$A$46,0))*365/365)*(INDEX(Segments!$F$5:$F$46,MATCH("2022|2022|Other",Segments!$A$5:$A$46,0))+INDEX(Segments!$F$5:$F$46,MATCH("2022|2023|Other",Segments!$A$5:$A$46,0)))/2/1000</f>
        <v/>
      </c>
      <c r="H10" s="23">
        <f>E10-D10-F10-G10</f>
        <v/>
      </c>
      <c r="I10" s="42">
        <f>E10-D10</f>
        <v/>
      </c>
    </row>
    <row r="11">
      <c r="A11" s="4" t="inlineStr">
        <is>
          <t>2023</t>
        </is>
      </c>
      <c r="B11" s="4" t="inlineStr">
        <is>
          <t>2024</t>
        </is>
      </c>
      <c r="C11" s="4" t="inlineStr">
        <is>
          <t>Self-Serve &amp; Add-Ons</t>
        </is>
      </c>
      <c r="D11" s="41">
        <f>INDEX(Segments!$I$5:$I$46,MATCH("2022|2023|Self-Serve &amp; Add-Ons",Segments!$A$5:$A$46,0))/1000</f>
        <v/>
      </c>
      <c r="E11" s="41">
        <f>INDEX(Segments!$I$5:$I$46,MATCH("2022|2024|Self-Serve &amp; Add-Ons",Segments!$A$5:$A$46,0))/1000</f>
        <v/>
      </c>
      <c r="F11" s="23">
        <f>(INDEX(Segments!$F$5:$F$46,MATCH("2022|2024|Self-Serve &amp; Add-Ons",Segments!$A$5:$A$46,0))-INDEX(Segments!$F$5:$F$46,MATCH("2022|2023|Self-Serve &amp; Add-Ons",Segments!$A$5:$A$46,0)))*(INDEX(Segments!$G$5:$G$46,MATCH("2022|2023|Self-Serve &amp; Add-Ons",Segments!$A$5:$A$46,0))*365/365+INDEX(Segments!$G$5:$G$46,MATCH("2022|2024|Self-Serve &amp; Add-Ons",Segments!$A$5:$A$46,0))*366/366)/2/1000</f>
        <v/>
      </c>
      <c r="G11" s="23">
        <f>(INDEX(Segments!$G$5:$G$46,MATCH("2022|2024|Self-Serve &amp; Add-Ons",Segments!$A$5:$A$46,0))*366/366-INDEX(Segments!$G$5:$G$46,MATCH("2022|2023|Self-Serve &amp; Add-Ons",Segments!$A$5:$A$46,0))*365/365)*(INDEX(Segments!$F$5:$F$46,MATCH("2022|2023|Self-Serve &amp; Add-Ons",Segments!$A$5:$A$46,0))+INDEX(Segments!$F$5:$F$46,MATCH("2022|2024|Self-Serve &amp; Add-Ons",Segments!$A$5:$A$46,0)))/2/1000</f>
        <v/>
      </c>
      <c r="H11" s="23">
        <f>E11-D11-F11-G11</f>
        <v/>
      </c>
      <c r="I11" s="42">
        <f>E11-D11</f>
        <v/>
      </c>
    </row>
    <row r="12">
      <c r="A12" s="4" t="inlineStr">
        <is>
          <t>2023</t>
        </is>
      </c>
      <c r="B12" s="4" t="inlineStr">
        <is>
          <t>2024</t>
        </is>
      </c>
      <c r="C12" s="4" t="inlineStr">
        <is>
          <t>Vimeo Enterprise</t>
        </is>
      </c>
      <c r="D12" s="41">
        <f>INDEX(Segments!$I$5:$I$46,MATCH("2022|2023|Vimeo Enterprise",Segments!$A$5:$A$46,0))/1000</f>
        <v/>
      </c>
      <c r="E12" s="41">
        <f>INDEX(Segments!$I$5:$I$46,MATCH("2022|2024|Vimeo Enterprise",Segments!$A$5:$A$46,0))/1000</f>
        <v/>
      </c>
      <c r="F12" s="23">
        <f>(INDEX(Segments!$F$5:$F$46,MATCH("2022|2024|Vimeo Enterprise",Segments!$A$5:$A$46,0))-INDEX(Segments!$F$5:$F$46,MATCH("2022|2023|Vimeo Enterprise",Segments!$A$5:$A$46,0)))*(INDEX(Segments!$G$5:$G$46,MATCH("2022|2023|Vimeo Enterprise",Segments!$A$5:$A$46,0))*365/365+INDEX(Segments!$G$5:$G$46,MATCH("2022|2024|Vimeo Enterprise",Segments!$A$5:$A$46,0))*366/366)/2/1000</f>
        <v/>
      </c>
      <c r="G12" s="23">
        <f>(INDEX(Segments!$G$5:$G$46,MATCH("2022|2024|Vimeo Enterprise",Segments!$A$5:$A$46,0))*366/366-INDEX(Segments!$G$5:$G$46,MATCH("2022|2023|Vimeo Enterprise",Segments!$A$5:$A$46,0))*365/365)*(INDEX(Segments!$F$5:$F$46,MATCH("2022|2023|Vimeo Enterprise",Segments!$A$5:$A$46,0))+INDEX(Segments!$F$5:$F$46,MATCH("2022|2024|Vimeo Enterprise",Segments!$A$5:$A$46,0)))/2/1000</f>
        <v/>
      </c>
      <c r="H12" s="23">
        <f>E12-D12-F12-G12</f>
        <v/>
      </c>
      <c r="I12" s="42">
        <f>E12-D12</f>
        <v/>
      </c>
    </row>
    <row r="13">
      <c r="A13" s="4" t="inlineStr">
        <is>
          <t>2023</t>
        </is>
      </c>
      <c r="B13" s="4" t="inlineStr">
        <is>
          <t>2024</t>
        </is>
      </c>
      <c r="C13" s="4" t="inlineStr">
        <is>
          <t>Other</t>
        </is>
      </c>
      <c r="D13" s="41">
        <f>INDEX(Segments!$I$5:$I$46,MATCH("2022|2023|Other",Segments!$A$5:$A$46,0))/1000</f>
        <v/>
      </c>
      <c r="E13" s="41">
        <f>INDEX(Segments!$I$5:$I$46,MATCH("2022|2024|Other",Segments!$A$5:$A$46,0))/1000</f>
        <v/>
      </c>
      <c r="F13" s="23">
        <f>(INDEX(Segments!$F$5:$F$46,MATCH("2022|2024|Other",Segments!$A$5:$A$46,0))-INDEX(Segments!$F$5:$F$46,MATCH("2022|2023|Other",Segments!$A$5:$A$46,0)))*(INDEX(Segments!$G$5:$G$46,MATCH("2022|2023|Other",Segments!$A$5:$A$46,0))*365/365+INDEX(Segments!$G$5:$G$46,MATCH("2022|2024|Other",Segments!$A$5:$A$46,0))*366/366)/2/1000</f>
        <v/>
      </c>
      <c r="G13" s="23">
        <f>(INDEX(Segments!$G$5:$G$46,MATCH("2022|2024|Other",Segments!$A$5:$A$46,0))*366/366-INDEX(Segments!$G$5:$G$46,MATCH("2022|2023|Other",Segments!$A$5:$A$46,0))*365/365)*(INDEX(Segments!$F$5:$F$46,MATCH("2022|2023|Other",Segments!$A$5:$A$46,0))+INDEX(Segments!$F$5:$F$46,MATCH("2022|2024|Other",Segments!$A$5:$A$46,0)))/2/1000</f>
        <v/>
      </c>
      <c r="H13" s="23">
        <f>E13-D13-F13-G13</f>
        <v/>
      </c>
      <c r="I13" s="42">
        <f>E13-D13</f>
        <v/>
      </c>
    </row>
    <row r="14">
      <c r="A14" s="4" t="inlineStr">
        <is>
          <t>2024Q1</t>
        </is>
      </c>
      <c r="B14" s="4" t="inlineStr">
        <is>
          <t>2025Q1</t>
        </is>
      </c>
      <c r="C14" s="4" t="inlineStr">
        <is>
          <t>Self-Serve</t>
        </is>
      </c>
      <c r="D14" s="41">
        <f>INDEX(Segments!$I$5:$I$46,MATCH("2025|2024Q1|Self-Serve",Segments!$A$5:$A$46,0))/1000</f>
        <v/>
      </c>
      <c r="E14" s="41">
        <f>INDEX(Segments!$I$5:$I$46,MATCH("2025|2025Q1|Self-Serve",Segments!$A$5:$A$46,0))/1000</f>
        <v/>
      </c>
      <c r="F14" s="23">
        <f>(INDEX(Segments!$F$5:$F$46,MATCH("2025|2025Q1|Self-Serve",Segments!$A$5:$A$46,0))-INDEX(Segments!$F$5:$F$46,MATCH("2025|2024Q1|Self-Serve",Segments!$A$5:$A$46,0)))*(INDEX(Segments!$G$5:$G$46,MATCH("2025|2024Q1|Self-Serve",Segments!$A$5:$A$46,0))*91/366+INDEX(Segments!$G$5:$G$46,MATCH("2025|2025Q1|Self-Serve",Segments!$A$5:$A$46,0))*90/365)/2/1000</f>
        <v/>
      </c>
      <c r="G14" s="23">
        <f>(INDEX(Segments!$G$5:$G$46,MATCH("2025|2025Q1|Self-Serve",Segments!$A$5:$A$46,0))*90/365-INDEX(Segments!$G$5:$G$46,MATCH("2025|2024Q1|Self-Serve",Segments!$A$5:$A$46,0))*91/366)*(INDEX(Segments!$F$5:$F$46,MATCH("2025|2024Q1|Self-Serve",Segments!$A$5:$A$46,0))+INDEX(Segments!$F$5:$F$46,MATCH("2025|2025Q1|Self-Serve",Segments!$A$5:$A$46,0)))/2/1000</f>
        <v/>
      </c>
      <c r="H14" s="23">
        <f>E14-D14-F14-G14</f>
        <v/>
      </c>
      <c r="I14" s="42">
        <f>E14-D14</f>
        <v/>
      </c>
    </row>
    <row r="15">
      <c r="A15" s="4" t="inlineStr">
        <is>
          <t>2024Q1</t>
        </is>
      </c>
      <c r="B15" s="4" t="inlineStr">
        <is>
          <t>2025Q1</t>
        </is>
      </c>
      <c r="C15" s="4" t="inlineStr">
        <is>
          <t>Vimeo Enterprise</t>
        </is>
      </c>
      <c r="D15" s="41">
        <f>INDEX(Segments!$I$5:$I$46,MATCH("2025|2024Q1|Vimeo Enterprise",Segments!$A$5:$A$46,0))/1000</f>
        <v/>
      </c>
      <c r="E15" s="41">
        <f>INDEX(Segments!$I$5:$I$46,MATCH("2025|2025Q1|Vimeo Enterprise",Segments!$A$5:$A$46,0))/1000</f>
        <v/>
      </c>
      <c r="F15" s="23">
        <f>(INDEX(Segments!$F$5:$F$46,MATCH("2025|2025Q1|Vimeo Enterprise",Segments!$A$5:$A$46,0))-INDEX(Segments!$F$5:$F$46,MATCH("2025|2024Q1|Vimeo Enterprise",Segments!$A$5:$A$46,0)))*(INDEX(Segments!$G$5:$G$46,MATCH("2025|2024Q1|Vimeo Enterprise",Segments!$A$5:$A$46,0))*91/366+INDEX(Segments!$G$5:$G$46,MATCH("2025|2025Q1|Vimeo Enterprise",Segments!$A$5:$A$46,0))*90/365)/2/1000</f>
        <v/>
      </c>
      <c r="G15" s="23">
        <f>(INDEX(Segments!$G$5:$G$46,MATCH("2025|2025Q1|Vimeo Enterprise",Segments!$A$5:$A$46,0))*90/365-INDEX(Segments!$G$5:$G$46,MATCH("2025|2024Q1|Vimeo Enterprise",Segments!$A$5:$A$46,0))*91/366)*(INDEX(Segments!$F$5:$F$46,MATCH("2025|2024Q1|Vimeo Enterprise",Segments!$A$5:$A$46,0))+INDEX(Segments!$F$5:$F$46,MATCH("2025|2025Q1|Vimeo Enterprise",Segments!$A$5:$A$46,0)))/2/1000</f>
        <v/>
      </c>
      <c r="H15" s="23">
        <f>E15-D15-F15-G15</f>
        <v/>
      </c>
      <c r="I15" s="42">
        <f>E15-D15</f>
        <v/>
      </c>
    </row>
    <row r="16">
      <c r="A16" s="4" t="inlineStr">
        <is>
          <t>2024Q1</t>
        </is>
      </c>
      <c r="B16" s="4" t="inlineStr">
        <is>
          <t>2025Q1</t>
        </is>
      </c>
      <c r="C16" s="4" t="inlineStr">
        <is>
          <t>OTT</t>
        </is>
      </c>
      <c r="D16" s="41">
        <f>INDEX(Segments!$I$5:$I$46,MATCH("2025|2024Q1|OTT",Segments!$A$5:$A$46,0))/1000</f>
        <v/>
      </c>
      <c r="E16" s="41">
        <f>INDEX(Segments!$I$5:$I$46,MATCH("2025|2025Q1|OTT",Segments!$A$5:$A$46,0))/1000</f>
        <v/>
      </c>
      <c r="F16" s="23">
        <f>(INDEX(Segments!$F$5:$F$46,MATCH("2025|2025Q1|OTT",Segments!$A$5:$A$46,0))-INDEX(Segments!$F$5:$F$46,MATCH("2025|2024Q1|OTT",Segments!$A$5:$A$46,0)))*(INDEX(Segments!$G$5:$G$46,MATCH("2025|2024Q1|OTT",Segments!$A$5:$A$46,0))*91/366+INDEX(Segments!$G$5:$G$46,MATCH("2025|2025Q1|OTT",Segments!$A$5:$A$46,0))*90/365)/2/1000</f>
        <v/>
      </c>
      <c r="G16" s="23">
        <f>(INDEX(Segments!$G$5:$G$46,MATCH("2025|2025Q1|OTT",Segments!$A$5:$A$46,0))*90/365-INDEX(Segments!$G$5:$G$46,MATCH("2025|2024Q1|OTT",Segments!$A$5:$A$46,0))*91/366)*(INDEX(Segments!$F$5:$F$46,MATCH("2025|2024Q1|OTT",Segments!$A$5:$A$46,0))+INDEX(Segments!$F$5:$F$46,MATCH("2025|2025Q1|OTT",Segments!$A$5:$A$46,0)))/2/1000</f>
        <v/>
      </c>
      <c r="H16" s="23">
        <f>E16-D16-F16-G16</f>
        <v/>
      </c>
      <c r="I16" s="42">
        <f>E16-D16</f>
        <v/>
      </c>
    </row>
    <row r="17">
      <c r="A17" s="4" t="inlineStr">
        <is>
          <t>2024Q2</t>
        </is>
      </c>
      <c r="B17" s="4" t="inlineStr">
        <is>
          <t>2025Q2</t>
        </is>
      </c>
      <c r="C17" s="4" t="inlineStr">
        <is>
          <t>Self-Serve</t>
        </is>
      </c>
      <c r="D17" s="41">
        <f>INDEX(Segments!$I$5:$I$46,MATCH("2025|2024Q2|Self-Serve",Segments!$A$5:$A$46,0))/1000</f>
        <v/>
      </c>
      <c r="E17" s="41">
        <f>INDEX(Segments!$I$5:$I$46,MATCH("2025|2025Q2|Self-Serve",Segments!$A$5:$A$46,0))/1000</f>
        <v/>
      </c>
      <c r="F17" s="23">
        <f>(INDEX(Segments!$F$5:$F$46,MATCH("2025|2025Q2|Self-Serve",Segments!$A$5:$A$46,0))-INDEX(Segments!$F$5:$F$46,MATCH("2025|2024Q2|Self-Serve",Segments!$A$5:$A$46,0)))*(INDEX(Segments!$G$5:$G$46,MATCH("2025|2024Q2|Self-Serve",Segments!$A$5:$A$46,0))*91/366+INDEX(Segments!$G$5:$G$46,MATCH("2025|2025Q2|Self-Serve",Segments!$A$5:$A$46,0))*91/365)/2/1000</f>
        <v/>
      </c>
      <c r="G17" s="23">
        <f>(INDEX(Segments!$G$5:$G$46,MATCH("2025|2025Q2|Self-Serve",Segments!$A$5:$A$46,0))*91/365-INDEX(Segments!$G$5:$G$46,MATCH("2025|2024Q2|Self-Serve",Segments!$A$5:$A$46,0))*91/366)*(INDEX(Segments!$F$5:$F$46,MATCH("2025|2024Q2|Self-Serve",Segments!$A$5:$A$46,0))+INDEX(Segments!$F$5:$F$46,MATCH("2025|2025Q2|Self-Serve",Segments!$A$5:$A$46,0)))/2/1000</f>
        <v/>
      </c>
      <c r="H17" s="23">
        <f>E17-D17-F17-G17</f>
        <v/>
      </c>
      <c r="I17" s="42">
        <f>E17-D17</f>
        <v/>
      </c>
    </row>
    <row r="18">
      <c r="A18" s="4" t="inlineStr">
        <is>
          <t>2024Q2</t>
        </is>
      </c>
      <c r="B18" s="4" t="inlineStr">
        <is>
          <t>2025Q2</t>
        </is>
      </c>
      <c r="C18" s="4" t="inlineStr">
        <is>
          <t>Vimeo Enterprise</t>
        </is>
      </c>
      <c r="D18" s="41">
        <f>INDEX(Segments!$I$5:$I$46,MATCH("2025|2024Q2|Vimeo Enterprise",Segments!$A$5:$A$46,0))/1000</f>
        <v/>
      </c>
      <c r="E18" s="41">
        <f>INDEX(Segments!$I$5:$I$46,MATCH("2025|2025Q2|Vimeo Enterprise",Segments!$A$5:$A$46,0))/1000</f>
        <v/>
      </c>
      <c r="F18" s="23">
        <f>(INDEX(Segments!$F$5:$F$46,MATCH("2025|2025Q2|Vimeo Enterprise",Segments!$A$5:$A$46,0))-INDEX(Segments!$F$5:$F$46,MATCH("2025|2024Q2|Vimeo Enterprise",Segments!$A$5:$A$46,0)))*(INDEX(Segments!$G$5:$G$46,MATCH("2025|2024Q2|Vimeo Enterprise",Segments!$A$5:$A$46,0))*91/366+INDEX(Segments!$G$5:$G$46,MATCH("2025|2025Q2|Vimeo Enterprise",Segments!$A$5:$A$46,0))*91/365)/2/1000</f>
        <v/>
      </c>
      <c r="G18" s="23">
        <f>(INDEX(Segments!$G$5:$G$46,MATCH("2025|2025Q2|Vimeo Enterprise",Segments!$A$5:$A$46,0))*91/365-INDEX(Segments!$G$5:$G$46,MATCH("2025|2024Q2|Vimeo Enterprise",Segments!$A$5:$A$46,0))*91/366)*(INDEX(Segments!$F$5:$F$46,MATCH("2025|2024Q2|Vimeo Enterprise",Segments!$A$5:$A$46,0))+INDEX(Segments!$F$5:$F$46,MATCH("2025|2025Q2|Vimeo Enterprise",Segments!$A$5:$A$46,0)))/2/1000</f>
        <v/>
      </c>
      <c r="H18" s="23">
        <f>E18-D18-F18-G18</f>
        <v/>
      </c>
      <c r="I18" s="42">
        <f>E18-D18</f>
        <v/>
      </c>
    </row>
    <row r="19">
      <c r="A19" s="4" t="inlineStr">
        <is>
          <t>2024Q2</t>
        </is>
      </c>
      <c r="B19" s="4" t="inlineStr">
        <is>
          <t>2025Q2</t>
        </is>
      </c>
      <c r="C19" s="4" t="inlineStr">
        <is>
          <t>OTT</t>
        </is>
      </c>
      <c r="D19" s="41">
        <f>INDEX(Segments!$I$5:$I$46,MATCH("2025|2024Q2|OTT",Segments!$A$5:$A$46,0))/1000</f>
        <v/>
      </c>
      <c r="E19" s="41">
        <f>INDEX(Segments!$I$5:$I$46,MATCH("2025|2025Q2|OTT",Segments!$A$5:$A$46,0))/1000</f>
        <v/>
      </c>
      <c r="F19" s="23">
        <f>(INDEX(Segments!$F$5:$F$46,MATCH("2025|2025Q2|OTT",Segments!$A$5:$A$46,0))-INDEX(Segments!$F$5:$F$46,MATCH("2025|2024Q2|OTT",Segments!$A$5:$A$46,0)))*(INDEX(Segments!$G$5:$G$46,MATCH("2025|2024Q2|OTT",Segments!$A$5:$A$46,0))*91/366+INDEX(Segments!$G$5:$G$46,MATCH("2025|2025Q2|OTT",Segments!$A$5:$A$46,0))*91/365)/2/1000</f>
        <v/>
      </c>
      <c r="G19" s="23">
        <f>(INDEX(Segments!$G$5:$G$46,MATCH("2025|2025Q2|OTT",Segments!$A$5:$A$46,0))*91/365-INDEX(Segments!$G$5:$G$46,MATCH("2025|2024Q2|OTT",Segments!$A$5:$A$46,0))*91/366)*(INDEX(Segments!$F$5:$F$46,MATCH("2025|2024Q2|OTT",Segments!$A$5:$A$46,0))+INDEX(Segments!$F$5:$F$46,MATCH("2025|2025Q2|OTT",Segments!$A$5:$A$46,0)))/2/1000</f>
        <v/>
      </c>
      <c r="H19" s="23">
        <f>E19-D19-F19-G19</f>
        <v/>
      </c>
      <c r="I19" s="42">
        <f>E19-D19</f>
        <v/>
      </c>
    </row>
    <row r="20">
      <c r="A20" s="4" t="inlineStr">
        <is>
          <t>2024Q3</t>
        </is>
      </c>
      <c r="B20" s="4" t="inlineStr">
        <is>
          <t>2025Q3</t>
        </is>
      </c>
      <c r="C20" s="4" t="inlineStr">
        <is>
          <t>Self-Serve</t>
        </is>
      </c>
      <c r="D20" s="41">
        <f>INDEX(Segments!$I$5:$I$46,MATCH("2025|2024Q3|Self-Serve",Segments!$A$5:$A$46,0))/1000</f>
        <v/>
      </c>
      <c r="E20" s="41">
        <f>INDEX(Segments!$I$5:$I$46,MATCH("2025|2025Q3|Self-Serve",Segments!$A$5:$A$46,0))/1000</f>
        <v/>
      </c>
      <c r="F20" s="23">
        <f>(INDEX(Segments!$F$5:$F$46,MATCH("2025|2025Q3|Self-Serve",Segments!$A$5:$A$46,0))-INDEX(Segments!$F$5:$F$46,MATCH("2025|2024Q3|Self-Serve",Segments!$A$5:$A$46,0)))*(INDEX(Segments!$G$5:$G$46,MATCH("2025|2024Q3|Self-Serve",Segments!$A$5:$A$46,0))*92/366+INDEX(Segments!$G$5:$G$46,MATCH("2025|2025Q3|Self-Serve",Segments!$A$5:$A$46,0))*92/365)/2/1000</f>
        <v/>
      </c>
      <c r="G20" s="23">
        <f>(INDEX(Segments!$G$5:$G$46,MATCH("2025|2025Q3|Self-Serve",Segments!$A$5:$A$46,0))*92/365-INDEX(Segments!$G$5:$G$46,MATCH("2025|2024Q3|Self-Serve",Segments!$A$5:$A$46,0))*92/366)*(INDEX(Segments!$F$5:$F$46,MATCH("2025|2024Q3|Self-Serve",Segments!$A$5:$A$46,0))+INDEX(Segments!$F$5:$F$46,MATCH("2025|2025Q3|Self-Serve",Segments!$A$5:$A$46,0)))/2/1000</f>
        <v/>
      </c>
      <c r="H20" s="23">
        <f>E20-D20-F20-G20</f>
        <v/>
      </c>
      <c r="I20" s="42">
        <f>E20-D20</f>
        <v/>
      </c>
    </row>
    <row r="21">
      <c r="A21" s="4" t="inlineStr">
        <is>
          <t>2024Q3</t>
        </is>
      </c>
      <c r="B21" s="4" t="inlineStr">
        <is>
          <t>2025Q3</t>
        </is>
      </c>
      <c r="C21" s="4" t="inlineStr">
        <is>
          <t>Vimeo Enterprise</t>
        </is>
      </c>
      <c r="D21" s="41">
        <f>INDEX(Segments!$I$5:$I$46,MATCH("2025|2024Q3|Vimeo Enterprise",Segments!$A$5:$A$46,0))/1000</f>
        <v/>
      </c>
      <c r="E21" s="41">
        <f>INDEX(Segments!$I$5:$I$46,MATCH("2025|2025Q3|Vimeo Enterprise",Segments!$A$5:$A$46,0))/1000</f>
        <v/>
      </c>
      <c r="F21" s="23">
        <f>(INDEX(Segments!$F$5:$F$46,MATCH("2025|2025Q3|Vimeo Enterprise",Segments!$A$5:$A$46,0))-INDEX(Segments!$F$5:$F$46,MATCH("2025|2024Q3|Vimeo Enterprise",Segments!$A$5:$A$46,0)))*(INDEX(Segments!$G$5:$G$46,MATCH("2025|2024Q3|Vimeo Enterprise",Segments!$A$5:$A$46,0))*92/366+INDEX(Segments!$G$5:$G$46,MATCH("2025|2025Q3|Vimeo Enterprise",Segments!$A$5:$A$46,0))*92/365)/2/1000</f>
        <v/>
      </c>
      <c r="G21" s="23">
        <f>(INDEX(Segments!$G$5:$G$46,MATCH("2025|2025Q3|Vimeo Enterprise",Segments!$A$5:$A$46,0))*92/365-INDEX(Segments!$G$5:$G$46,MATCH("2025|2024Q3|Vimeo Enterprise",Segments!$A$5:$A$46,0))*92/366)*(INDEX(Segments!$F$5:$F$46,MATCH("2025|2024Q3|Vimeo Enterprise",Segments!$A$5:$A$46,0))+INDEX(Segments!$F$5:$F$46,MATCH("2025|2025Q3|Vimeo Enterprise",Segments!$A$5:$A$46,0)))/2/1000</f>
        <v/>
      </c>
      <c r="H21" s="23">
        <f>E21-D21-F21-G21</f>
        <v/>
      </c>
      <c r="I21" s="42">
        <f>E21-D21</f>
        <v/>
      </c>
    </row>
    <row r="22">
      <c r="A22" s="4" t="inlineStr">
        <is>
          <t>2024Q3</t>
        </is>
      </c>
      <c r="B22" s="4" t="inlineStr">
        <is>
          <t>2025Q3</t>
        </is>
      </c>
      <c r="C22" s="4" t="inlineStr">
        <is>
          <t>OTT</t>
        </is>
      </c>
      <c r="D22" s="41">
        <f>INDEX(Segments!$I$5:$I$46,MATCH("2025|2024Q3|OTT",Segments!$A$5:$A$46,0))/1000</f>
        <v/>
      </c>
      <c r="E22" s="41">
        <f>INDEX(Segments!$I$5:$I$46,MATCH("2025|2025Q3|OTT",Segments!$A$5:$A$46,0))/1000</f>
        <v/>
      </c>
      <c r="F22" s="23">
        <f>(INDEX(Segments!$F$5:$F$46,MATCH("2025|2025Q3|OTT",Segments!$A$5:$A$46,0))-INDEX(Segments!$F$5:$F$46,MATCH("2025|2024Q3|OTT",Segments!$A$5:$A$46,0)))*(INDEX(Segments!$G$5:$G$46,MATCH("2025|2024Q3|OTT",Segments!$A$5:$A$46,0))*92/366+INDEX(Segments!$G$5:$G$46,MATCH("2025|2025Q3|OTT",Segments!$A$5:$A$46,0))*92/365)/2/1000</f>
        <v/>
      </c>
      <c r="G22" s="23">
        <f>(INDEX(Segments!$G$5:$G$46,MATCH("2025|2025Q3|OTT",Segments!$A$5:$A$46,0))*92/365-INDEX(Segments!$G$5:$G$46,MATCH("2025|2024Q3|OTT",Segments!$A$5:$A$46,0))*92/366)*(INDEX(Segments!$F$5:$F$46,MATCH("2025|2024Q3|OTT",Segments!$A$5:$A$46,0))+INDEX(Segments!$F$5:$F$46,MATCH("2025|2025Q3|OTT",Segments!$A$5:$A$46,0)))/2/1000</f>
        <v/>
      </c>
      <c r="H22" s="23">
        <f>E22-D22-F22-G22</f>
        <v/>
      </c>
      <c r="I22" s="42">
        <f>E22-D22</f>
        <v/>
      </c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8" customWidth="1" min="2" max="2"/>
    <col width="10" customWidth="1" min="3" max="3"/>
    <col width="24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4" customWidth="1" min="10" max="10"/>
    <col width="12" customWidth="1" min="11" max="11"/>
  </cols>
  <sheetData>
    <row r="1">
      <c r="A1" s="12" t="inlineStr">
        <is>
          <t>Segments: operating metrics from Vimeo's filings</t>
        </is>
      </c>
    </row>
    <row r="2">
      <c r="A2" s="13" t="inlineStr">
        <is>
          <t>Transcribed from the MD&amp;A of each 10-K and 10-Q; accession numbers in data/operating_metrics.csv. Two bases: do not join them.</t>
        </is>
      </c>
    </row>
    <row r="4" ht="32" customHeight="1">
      <c r="A4" s="22" t="inlineStr">
        <is>
          <t>Key</t>
        </is>
      </c>
      <c r="B4" s="22" t="inlineStr">
        <is>
          <t>Basis</t>
        </is>
      </c>
      <c r="C4" s="22" t="inlineStr">
        <is>
          <t>Period</t>
        </is>
      </c>
      <c r="D4" s="22" t="inlineStr">
        <is>
          <t>Segment</t>
        </is>
      </c>
      <c r="E4" s="22" t="inlineStr">
        <is>
          <t>Subscribers (k)</t>
        </is>
      </c>
      <c r="F4" s="22" t="inlineStr">
        <is>
          <t>Average subscribers (k)</t>
        </is>
      </c>
      <c r="G4" s="22" t="inlineStr">
        <is>
          <t>ARPU ($)</t>
        </is>
      </c>
      <c r="H4" s="22" t="inlineStr">
        <is>
          <t>Bookings ($k)</t>
        </is>
      </c>
      <c r="I4" s="22" t="inlineStr">
        <is>
          <t>Revenue ($k)</t>
        </is>
      </c>
      <c r="J4" s="22" t="inlineStr">
        <is>
          <t>ARPU x average ($k)</t>
        </is>
      </c>
      <c r="K4" s="22" t="inlineStr">
        <is>
          <t>Gap</t>
        </is>
      </c>
    </row>
    <row r="5">
      <c r="A5" s="5">
        <f>B5&amp;"|"&amp;C5&amp;"|"&amp;D5</f>
        <v/>
      </c>
      <c r="B5" s="4" t="inlineStr">
        <is>
          <t>2022</t>
        </is>
      </c>
      <c r="C5" s="4" t="inlineStr">
        <is>
          <t>2021</t>
        </is>
      </c>
      <c r="D5" s="4" t="inlineStr">
        <is>
          <t>Self-Serve &amp; Add-Ons</t>
        </is>
      </c>
      <c r="E5" s="43" t="n">
        <v>1554.7</v>
      </c>
      <c r="F5" s="43" t="n">
        <v>1443.6</v>
      </c>
      <c r="G5" s="33" t="n">
        <v>191</v>
      </c>
      <c r="H5" s="33" t="n">
        <v>301463</v>
      </c>
      <c r="I5" s="33" t="n">
        <v>275259</v>
      </c>
      <c r="J5" s="28">
        <f>G5*F5*365/365</f>
        <v/>
      </c>
      <c r="K5" s="35">
        <f>J5/I5-1</f>
        <v/>
      </c>
    </row>
    <row r="6">
      <c r="A6" s="5">
        <f>B6&amp;"|"&amp;C6&amp;"|"&amp;D6</f>
        <v/>
      </c>
      <c r="B6" s="4" t="inlineStr">
        <is>
          <t>2022</t>
        </is>
      </c>
      <c r="C6" s="4" t="inlineStr">
        <is>
          <t>2021</t>
        </is>
      </c>
      <c r="D6" s="4" t="inlineStr">
        <is>
          <t>Vimeo Enterprise</t>
        </is>
      </c>
      <c r="E6" s="43" t="n">
        <v>1.6</v>
      </c>
      <c r="F6" s="43" t="n">
        <v>1.2</v>
      </c>
      <c r="G6" s="33" t="n">
        <v>19683</v>
      </c>
      <c r="H6" s="33" t="n">
        <v>30567</v>
      </c>
      <c r="I6" s="33" t="n">
        <v>23236</v>
      </c>
      <c r="J6" s="28">
        <f>G6*F6*365/365</f>
        <v/>
      </c>
      <c r="K6" s="35">
        <f>J6/I6-1</f>
        <v/>
      </c>
    </row>
    <row r="7">
      <c r="A7" s="5">
        <f>B7&amp;"|"&amp;C7&amp;"|"&amp;D7</f>
        <v/>
      </c>
      <c r="B7" s="4" t="inlineStr">
        <is>
          <t>2022</t>
        </is>
      </c>
      <c r="C7" s="4" t="inlineStr">
        <is>
          <t>2021</t>
        </is>
      </c>
      <c r="D7" s="4" t="inlineStr">
        <is>
          <t>Other</t>
        </is>
      </c>
      <c r="E7" s="43" t="n">
        <v>138.7</v>
      </c>
      <c r="F7" s="43" t="n">
        <v>168</v>
      </c>
      <c r="G7" s="33" t="n">
        <v>555</v>
      </c>
      <c r="H7" s="33" t="n">
        <v>72565</v>
      </c>
      <c r="I7" s="33" t="n">
        <v>93183</v>
      </c>
      <c r="J7" s="28">
        <f>G7*F7*365/365</f>
        <v/>
      </c>
      <c r="K7" s="35">
        <f>J7/I7-1</f>
        <v/>
      </c>
    </row>
    <row r="8">
      <c r="A8" s="5">
        <f>B8&amp;"|"&amp;C8&amp;"|"&amp;D8</f>
        <v/>
      </c>
      <c r="B8" s="4" t="inlineStr">
        <is>
          <t>2022</t>
        </is>
      </c>
      <c r="C8" s="4" t="inlineStr">
        <is>
          <t>2022</t>
        </is>
      </c>
      <c r="D8" s="4" t="inlineStr">
        <is>
          <t>Self-Serve &amp; Add-Ons</t>
        </is>
      </c>
      <c r="E8" s="43" t="n">
        <v>1505</v>
      </c>
      <c r="F8" s="43" t="n">
        <v>1529.9</v>
      </c>
      <c r="G8" s="33" t="n">
        <v>199</v>
      </c>
      <c r="H8" s="33" t="n">
        <v>297312</v>
      </c>
      <c r="I8" s="33" t="n">
        <v>304726</v>
      </c>
      <c r="J8" s="28">
        <f>G8*F8*365/365</f>
        <v/>
      </c>
      <c r="K8" s="35">
        <f>J8/I8-1</f>
        <v/>
      </c>
    </row>
    <row r="9">
      <c r="A9" s="5">
        <f>B9&amp;"|"&amp;C9&amp;"|"&amp;D9</f>
        <v/>
      </c>
      <c r="B9" s="4" t="inlineStr">
        <is>
          <t>2022</t>
        </is>
      </c>
      <c r="C9" s="4" t="inlineStr">
        <is>
          <t>2022</t>
        </is>
      </c>
      <c r="D9" s="4" t="inlineStr">
        <is>
          <t>Vimeo Enterprise</t>
        </is>
      </c>
      <c r="E9" s="43" t="n">
        <v>2.2</v>
      </c>
      <c r="F9" s="43" t="n">
        <v>1.9</v>
      </c>
      <c r="G9" s="33" t="n">
        <v>20321</v>
      </c>
      <c r="H9" s="33" t="n">
        <v>46781</v>
      </c>
      <c r="I9" s="33" t="n">
        <v>39271</v>
      </c>
      <c r="J9" s="28">
        <f>G9*F9*365/365</f>
        <v/>
      </c>
      <c r="K9" s="35">
        <f>J9/I9-1</f>
        <v/>
      </c>
    </row>
    <row r="10">
      <c r="A10" s="5">
        <f>B10&amp;"|"&amp;C10&amp;"|"&amp;D10</f>
        <v/>
      </c>
      <c r="B10" s="4" t="inlineStr">
        <is>
          <t>2022</t>
        </is>
      </c>
      <c r="C10" s="4" t="inlineStr">
        <is>
          <t>2022</t>
        </is>
      </c>
      <c r="D10" s="4" t="inlineStr">
        <is>
          <t>Other</t>
        </is>
      </c>
      <c r="E10" s="43" t="n">
        <v>93.3</v>
      </c>
      <c r="F10" s="43" t="n">
        <v>116</v>
      </c>
      <c r="G10" s="33" t="n">
        <v>767</v>
      </c>
      <c r="H10" s="33" t="n">
        <v>67015</v>
      </c>
      <c r="I10" s="33" t="n">
        <v>89031</v>
      </c>
      <c r="J10" s="28">
        <f>G10*F10*365/365</f>
        <v/>
      </c>
      <c r="K10" s="35">
        <f>J10/I10-1</f>
        <v/>
      </c>
    </row>
    <row r="11">
      <c r="A11" s="5">
        <f>B11&amp;"|"&amp;C11&amp;"|"&amp;D11</f>
        <v/>
      </c>
      <c r="B11" s="4" t="inlineStr">
        <is>
          <t>2022</t>
        </is>
      </c>
      <c r="C11" s="4" t="inlineStr">
        <is>
          <t>2023</t>
        </is>
      </c>
      <c r="D11" s="4" t="inlineStr">
        <is>
          <t>Self-Serve &amp; Add-Ons</t>
        </is>
      </c>
      <c r="E11" s="43" t="n">
        <v>1379.7</v>
      </c>
      <c r="F11" s="43" t="n">
        <v>1442.4</v>
      </c>
      <c r="G11" s="33" t="n">
        <v>198</v>
      </c>
      <c r="H11" s="33" t="n">
        <v>281548</v>
      </c>
      <c r="I11" s="33" t="n">
        <v>285529</v>
      </c>
      <c r="J11" s="28">
        <f>G11*F11*365/365</f>
        <v/>
      </c>
      <c r="K11" s="35">
        <f>J11/I11-1</f>
        <v/>
      </c>
    </row>
    <row r="12">
      <c r="A12" s="5">
        <f>B12&amp;"|"&amp;C12&amp;"|"&amp;D12</f>
        <v/>
      </c>
      <c r="B12" s="4" t="inlineStr">
        <is>
          <t>2022</t>
        </is>
      </c>
      <c r="C12" s="4" t="inlineStr">
        <is>
          <t>2023</t>
        </is>
      </c>
      <c r="D12" s="4" t="inlineStr">
        <is>
          <t>Vimeo Enterprise</t>
        </is>
      </c>
      <c r="E12" s="43" t="n">
        <v>3.3</v>
      </c>
      <c r="F12" s="43" t="n">
        <v>2.8</v>
      </c>
      <c r="G12" s="33" t="n">
        <v>20269</v>
      </c>
      <c r="H12" s="33" t="n">
        <v>71435</v>
      </c>
      <c r="I12" s="33" t="n">
        <v>56499</v>
      </c>
      <c r="J12" s="28">
        <f>G12*F12*365/365</f>
        <v/>
      </c>
      <c r="K12" s="35">
        <f>J12/I12-1</f>
        <v/>
      </c>
    </row>
    <row r="13">
      <c r="A13" s="5">
        <f>B13&amp;"|"&amp;C13&amp;"|"&amp;D13</f>
        <v/>
      </c>
      <c r="B13" s="4" t="inlineStr">
        <is>
          <t>2022</t>
        </is>
      </c>
      <c r="C13" s="4" t="inlineStr">
        <is>
          <t>2023</t>
        </is>
      </c>
      <c r="D13" s="4" t="inlineStr">
        <is>
          <t>Other</t>
        </is>
      </c>
      <c r="E13" s="43" t="n">
        <v>67</v>
      </c>
      <c r="F13" s="43" t="n">
        <v>80.09999999999999</v>
      </c>
      <c r="G13" s="33" t="n">
        <v>938</v>
      </c>
      <c r="H13" s="33" t="n">
        <v>50106</v>
      </c>
      <c r="I13" s="33" t="n">
        <v>75186</v>
      </c>
      <c r="J13" s="28">
        <f>G13*F13*365/365</f>
        <v/>
      </c>
      <c r="K13" s="35">
        <f>J13/I13-1</f>
        <v/>
      </c>
    </row>
    <row r="14">
      <c r="A14" s="5">
        <f>B14&amp;"|"&amp;C14&amp;"|"&amp;D14</f>
        <v/>
      </c>
      <c r="B14" s="4" t="inlineStr">
        <is>
          <t>2022</t>
        </is>
      </c>
      <c r="C14" s="4" t="inlineStr">
        <is>
          <t>2024</t>
        </is>
      </c>
      <c r="D14" s="4" t="inlineStr">
        <is>
          <t>Self-Serve &amp; Add-Ons</t>
        </is>
      </c>
      <c r="E14" s="43" t="n">
        <v>1227.7</v>
      </c>
      <c r="F14" s="43" t="n">
        <v>1303.7</v>
      </c>
      <c r="G14" s="33" t="n">
        <v>208</v>
      </c>
      <c r="H14" s="33" t="n">
        <v>260667</v>
      </c>
      <c r="I14" s="33" t="n">
        <v>271691</v>
      </c>
      <c r="J14" s="28">
        <f>G14*F14*366/366</f>
        <v/>
      </c>
      <c r="K14" s="35">
        <f>J14/I14-1</f>
        <v/>
      </c>
    </row>
    <row r="15">
      <c r="A15" s="5">
        <f>B15&amp;"|"&amp;C15&amp;"|"&amp;D15</f>
        <v/>
      </c>
      <c r="B15" s="4" t="inlineStr">
        <is>
          <t>2022</t>
        </is>
      </c>
      <c r="C15" s="4" t="inlineStr">
        <is>
          <t>2024</t>
        </is>
      </c>
      <c r="D15" s="4" t="inlineStr">
        <is>
          <t>Vimeo Enterprise</t>
        </is>
      </c>
      <c r="E15" s="43" t="n">
        <v>4</v>
      </c>
      <c r="F15" s="43" t="n">
        <v>3.7</v>
      </c>
      <c r="G15" s="33" t="n">
        <v>22755</v>
      </c>
      <c r="H15" s="33" t="n">
        <v>98640</v>
      </c>
      <c r="I15" s="33" t="n">
        <v>83191</v>
      </c>
      <c r="J15" s="28">
        <f>G15*F15*366/366</f>
        <v/>
      </c>
      <c r="K15" s="35">
        <f>J15/I15-1</f>
        <v/>
      </c>
    </row>
    <row r="16">
      <c r="A16" s="5">
        <f>B16&amp;"|"&amp;C16&amp;"|"&amp;D16</f>
        <v/>
      </c>
      <c r="B16" s="4" t="inlineStr">
        <is>
          <t>2022</t>
        </is>
      </c>
      <c r="C16" s="4" t="inlineStr">
        <is>
          <t>2024</t>
        </is>
      </c>
      <c r="D16" s="4" t="inlineStr">
        <is>
          <t>Other</t>
        </is>
      </c>
      <c r="E16" s="43" t="n">
        <v>50</v>
      </c>
      <c r="F16" s="43" t="n">
        <v>58.5</v>
      </c>
      <c r="G16" s="33" t="n">
        <v>1062</v>
      </c>
      <c r="H16" s="33" t="n">
        <v>43727</v>
      </c>
      <c r="I16" s="33" t="n">
        <v>62124</v>
      </c>
      <c r="J16" s="28">
        <f>G16*F16*366/366</f>
        <v/>
      </c>
      <c r="K16" s="35">
        <f>J16/I16-1</f>
        <v/>
      </c>
    </row>
    <row r="17">
      <c r="A17" s="5">
        <f>B17&amp;"|"&amp;C17&amp;"|"&amp;D17</f>
        <v/>
      </c>
      <c r="B17" s="4" t="inlineStr">
        <is>
          <t>2025</t>
        </is>
      </c>
      <c r="C17" s="4" t="inlineStr">
        <is>
          <t>2024Q1</t>
        </is>
      </c>
      <c r="D17" s="4" t="inlineStr">
        <is>
          <t>Self-Serve</t>
        </is>
      </c>
      <c r="E17" s="43" t="n">
        <v>1341.6</v>
      </c>
      <c r="F17" s="43" t="n">
        <v>1357.1</v>
      </c>
      <c r="G17" s="33" t="n">
        <v>175</v>
      </c>
      <c r="H17" s="33" t="n">
        <v>57671</v>
      </c>
      <c r="I17" s="33" t="n">
        <v>59107</v>
      </c>
      <c r="J17" s="28">
        <f>G17*F17*91/366</f>
        <v/>
      </c>
      <c r="K17" s="35">
        <f>J17/I17-1</f>
        <v/>
      </c>
    </row>
    <row r="18">
      <c r="A18" s="5">
        <f>B18&amp;"|"&amp;C18&amp;"|"&amp;D18</f>
        <v/>
      </c>
      <c r="B18" s="4" t="inlineStr">
        <is>
          <t>2025</t>
        </is>
      </c>
      <c r="C18" s="4" t="inlineStr">
        <is>
          <t>2024Q1</t>
        </is>
      </c>
      <c r="D18" s="4" t="inlineStr">
        <is>
          <t>Vimeo Enterprise</t>
        </is>
      </c>
      <c r="E18" s="43" t="n">
        <v>3.7</v>
      </c>
      <c r="F18" s="43" t="n">
        <v>3.5</v>
      </c>
      <c r="G18" s="33" t="n">
        <v>21203</v>
      </c>
      <c r="H18" s="33" t="n">
        <v>19935</v>
      </c>
      <c r="I18" s="33" t="n">
        <v>18467</v>
      </c>
      <c r="J18" s="28">
        <f>G18*F18*91/366</f>
        <v/>
      </c>
      <c r="K18" s="35">
        <f>J18/I18-1</f>
        <v/>
      </c>
    </row>
    <row r="19">
      <c r="A19" s="5">
        <f>B19&amp;"|"&amp;C19&amp;"|"&amp;D19</f>
        <v/>
      </c>
      <c r="B19" s="4" t="inlineStr">
        <is>
          <t>2025</t>
        </is>
      </c>
      <c r="C19" s="4" t="inlineStr">
        <is>
          <t>2024Q1</t>
        </is>
      </c>
      <c r="D19" s="4" t="inlineStr">
        <is>
          <t>OTT</t>
        </is>
      </c>
      <c r="E19" s="43" t="n">
        <v>3</v>
      </c>
      <c r="F19" s="43" t="n">
        <v>3</v>
      </c>
      <c r="G19" s="33" t="n">
        <v>17331</v>
      </c>
      <c r="H19" s="33" t="n">
        <v>9593</v>
      </c>
      <c r="I19" s="33" t="n">
        <v>13059</v>
      </c>
      <c r="J19" s="28">
        <f>G19*F19*91/366</f>
        <v/>
      </c>
      <c r="K19" s="35">
        <f>J19/I19-1</f>
        <v/>
      </c>
    </row>
    <row r="20">
      <c r="A20" s="5">
        <f>B20&amp;"|"&amp;C20&amp;"|"&amp;D20</f>
        <v/>
      </c>
      <c r="B20" s="4" t="inlineStr">
        <is>
          <t>2025</t>
        </is>
      </c>
      <c r="C20" s="4" t="inlineStr">
        <is>
          <t>2024Q1</t>
        </is>
      </c>
      <c r="D20" s="4" t="inlineStr">
        <is>
          <t>Other</t>
        </is>
      </c>
      <c r="I20" s="33" t="n">
        <v>3473</v>
      </c>
    </row>
    <row r="21">
      <c r="A21" s="5">
        <f>B21&amp;"|"&amp;C21&amp;"|"&amp;D21</f>
        <v/>
      </c>
      <c r="B21" s="4" t="inlineStr">
        <is>
          <t>2025</t>
        </is>
      </c>
      <c r="C21" s="4" t="inlineStr">
        <is>
          <t>2024Q1</t>
        </is>
      </c>
      <c r="D21" s="4" t="inlineStr">
        <is>
          <t>Add-Ons</t>
        </is>
      </c>
      <c r="I21" s="33" t="n">
        <v>10804</v>
      </c>
    </row>
    <row r="22">
      <c r="A22" s="5">
        <f>B22&amp;"|"&amp;C22&amp;"|"&amp;D22</f>
        <v/>
      </c>
      <c r="B22" s="4" t="inlineStr">
        <is>
          <t>2025</t>
        </is>
      </c>
      <c r="C22" s="4" t="inlineStr">
        <is>
          <t>2024Q2</t>
        </is>
      </c>
      <c r="D22" s="4" t="inlineStr">
        <is>
          <t>Self-Serve</t>
        </is>
      </c>
      <c r="E22" s="43" t="n">
        <v>1298.1</v>
      </c>
      <c r="F22" s="43" t="n">
        <v>1319.8</v>
      </c>
      <c r="G22" s="33" t="n">
        <v>178</v>
      </c>
      <c r="H22" s="33" t="n">
        <v>58644</v>
      </c>
      <c r="I22" s="33" t="n">
        <v>58374</v>
      </c>
      <c r="J22" s="28">
        <f>G22*F22*91/366</f>
        <v/>
      </c>
      <c r="K22" s="35">
        <f>J22/I22-1</f>
        <v/>
      </c>
    </row>
    <row r="23">
      <c r="A23" s="5">
        <f>B23&amp;"|"&amp;C23&amp;"|"&amp;D23</f>
        <v/>
      </c>
      <c r="B23" s="4" t="inlineStr">
        <is>
          <t>2025</t>
        </is>
      </c>
      <c r="C23" s="4" t="inlineStr">
        <is>
          <t>2024Q2</t>
        </is>
      </c>
      <c r="D23" s="4" t="inlineStr">
        <is>
          <t>Vimeo Enterprise</t>
        </is>
      </c>
      <c r="E23" s="43" t="n">
        <v>3.7</v>
      </c>
      <c r="F23" s="43" t="n">
        <v>3.7</v>
      </c>
      <c r="G23" s="33" t="n">
        <v>21977</v>
      </c>
      <c r="H23" s="33" t="n">
        <v>23433</v>
      </c>
      <c r="I23" s="33" t="n">
        <v>20051</v>
      </c>
      <c r="J23" s="28">
        <f>G23*F23*91/366</f>
        <v/>
      </c>
      <c r="K23" s="35">
        <f>J23/I23-1</f>
        <v/>
      </c>
    </row>
    <row r="24">
      <c r="A24" s="5">
        <f>B24&amp;"|"&amp;C24&amp;"|"&amp;D24</f>
        <v/>
      </c>
      <c r="B24" s="4" t="inlineStr">
        <is>
          <t>2025</t>
        </is>
      </c>
      <c r="C24" s="4" t="inlineStr">
        <is>
          <t>2024Q2</t>
        </is>
      </c>
      <c r="D24" s="4" t="inlineStr">
        <is>
          <t>OTT</t>
        </is>
      </c>
      <c r="E24" s="43" t="n">
        <v>2.9</v>
      </c>
      <c r="F24" s="43" t="n">
        <v>3</v>
      </c>
      <c r="G24" s="33" t="n">
        <v>17107</v>
      </c>
      <c r="H24" s="33" t="n">
        <v>7492</v>
      </c>
      <c r="I24" s="33" t="n">
        <v>12641</v>
      </c>
      <c r="J24" s="28">
        <f>G24*F24*91/366</f>
        <v/>
      </c>
      <c r="K24" s="35">
        <f>J24/I24-1</f>
        <v/>
      </c>
    </row>
    <row r="25">
      <c r="A25" s="5">
        <f>B25&amp;"|"&amp;C25&amp;"|"&amp;D25</f>
        <v/>
      </c>
      <c r="B25" s="4" t="inlineStr">
        <is>
          <t>2025</t>
        </is>
      </c>
      <c r="C25" s="4" t="inlineStr">
        <is>
          <t>2024Q2</t>
        </is>
      </c>
      <c r="D25" s="4" t="inlineStr">
        <is>
          <t>Other</t>
        </is>
      </c>
      <c r="I25" s="33" t="n">
        <v>3120</v>
      </c>
    </row>
    <row r="26">
      <c r="A26" s="5">
        <f>B26&amp;"|"&amp;C26&amp;"|"&amp;D26</f>
        <v/>
      </c>
      <c r="B26" s="4" t="inlineStr">
        <is>
          <t>2025</t>
        </is>
      </c>
      <c r="C26" s="4" t="inlineStr">
        <is>
          <t>2024Q2</t>
        </is>
      </c>
      <c r="D26" s="4" t="inlineStr">
        <is>
          <t>Add-Ons</t>
        </is>
      </c>
      <c r="I26" s="33" t="n">
        <v>10190</v>
      </c>
    </row>
    <row r="27">
      <c r="A27" s="5">
        <f>B27&amp;"|"&amp;C27&amp;"|"&amp;D27</f>
        <v/>
      </c>
      <c r="B27" s="4" t="inlineStr">
        <is>
          <t>2025</t>
        </is>
      </c>
      <c r="C27" s="4" t="inlineStr">
        <is>
          <t>2024Q3</t>
        </is>
      </c>
      <c r="D27" s="4" t="inlineStr">
        <is>
          <t>Self-Serve</t>
        </is>
      </c>
      <c r="E27" s="43" t="n">
        <v>1269.1</v>
      </c>
      <c r="F27" s="43" t="n">
        <v>1283.6</v>
      </c>
      <c r="G27" s="33" t="n">
        <v>181</v>
      </c>
      <c r="H27" s="33" t="n">
        <v>53583</v>
      </c>
      <c r="I27" s="33" t="n">
        <v>58356</v>
      </c>
      <c r="J27" s="28">
        <f>G27*F27*92/366</f>
        <v/>
      </c>
      <c r="K27" s="35">
        <f>J27/I27-1</f>
        <v/>
      </c>
    </row>
    <row r="28">
      <c r="A28" s="5">
        <f>B28&amp;"|"&amp;C28&amp;"|"&amp;D28</f>
        <v/>
      </c>
      <c r="B28" s="4" t="inlineStr">
        <is>
          <t>2025</t>
        </is>
      </c>
      <c r="C28" s="4" t="inlineStr">
        <is>
          <t>2024Q3</t>
        </is>
      </c>
      <c r="D28" s="4" t="inlineStr">
        <is>
          <t>Vimeo Enterprise</t>
        </is>
      </c>
      <c r="E28" s="43" t="n">
        <v>3.8</v>
      </c>
      <c r="F28" s="43" t="n">
        <v>3.7</v>
      </c>
      <c r="G28" s="33" t="n">
        <v>23043</v>
      </c>
      <c r="H28" s="33" t="n">
        <v>25092</v>
      </c>
      <c r="I28" s="33" t="n">
        <v>21675</v>
      </c>
      <c r="J28" s="28">
        <f>G28*F28*92/366</f>
        <v/>
      </c>
      <c r="K28" s="35">
        <f>J28/I28-1</f>
        <v/>
      </c>
    </row>
    <row r="29">
      <c r="A29" s="5">
        <f>B29&amp;"|"&amp;C29&amp;"|"&amp;D29</f>
        <v/>
      </c>
      <c r="B29" s="4" t="inlineStr">
        <is>
          <t>2025</t>
        </is>
      </c>
      <c r="C29" s="4" t="inlineStr">
        <is>
          <t>2024Q3</t>
        </is>
      </c>
      <c r="D29" s="4" t="inlineStr">
        <is>
          <t>OTT</t>
        </is>
      </c>
      <c r="E29" s="43" t="n">
        <v>3.1</v>
      </c>
      <c r="F29" s="43" t="n">
        <v>3</v>
      </c>
      <c r="G29" s="33" t="n">
        <v>16363</v>
      </c>
      <c r="H29" s="33" t="n">
        <v>11092</v>
      </c>
      <c r="I29" s="33" t="n">
        <v>12358</v>
      </c>
      <c r="J29" s="28">
        <f>G29*F29*92/366</f>
        <v/>
      </c>
      <c r="K29" s="35">
        <f>J29/I29-1</f>
        <v/>
      </c>
    </row>
    <row r="30">
      <c r="A30" s="5">
        <f>B30&amp;"|"&amp;C30&amp;"|"&amp;D30</f>
        <v/>
      </c>
      <c r="B30" s="4" t="inlineStr">
        <is>
          <t>2025</t>
        </is>
      </c>
      <c r="C30" s="4" t="inlineStr">
        <is>
          <t>2024Q3</t>
        </is>
      </c>
      <c r="D30" s="4" t="inlineStr">
        <is>
          <t>Other</t>
        </is>
      </c>
      <c r="I30" s="33" t="n">
        <v>2667</v>
      </c>
    </row>
    <row r="31">
      <c r="A31" s="5">
        <f>B31&amp;"|"&amp;C31&amp;"|"&amp;D31</f>
        <v/>
      </c>
      <c r="B31" s="4" t="inlineStr">
        <is>
          <t>2025</t>
        </is>
      </c>
      <c r="C31" s="4" t="inlineStr">
        <is>
          <t>2024Q3</t>
        </is>
      </c>
      <c r="D31" s="4" t="inlineStr">
        <is>
          <t>Add-Ons</t>
        </is>
      </c>
      <c r="I31" s="33" t="n">
        <v>9508</v>
      </c>
    </row>
    <row r="32">
      <c r="A32" s="5">
        <f>B32&amp;"|"&amp;C32&amp;"|"&amp;D32</f>
        <v/>
      </c>
      <c r="B32" s="4" t="inlineStr">
        <is>
          <t>2025</t>
        </is>
      </c>
      <c r="C32" s="4" t="inlineStr">
        <is>
          <t>2025Q1</t>
        </is>
      </c>
      <c r="D32" s="4" t="inlineStr">
        <is>
          <t>Self-Serve</t>
        </is>
      </c>
      <c r="E32" s="43" t="n">
        <v>1189.3</v>
      </c>
      <c r="F32" s="43" t="n">
        <v>1205.4</v>
      </c>
      <c r="G32" s="33" t="n">
        <v>189</v>
      </c>
      <c r="H32" s="33" t="n">
        <v>61113</v>
      </c>
      <c r="I32" s="33" t="n">
        <v>56112</v>
      </c>
      <c r="J32" s="28">
        <f>G32*F32*90/365</f>
        <v/>
      </c>
      <c r="K32" s="35">
        <f>J32/I32-1</f>
        <v/>
      </c>
    </row>
    <row r="33">
      <c r="A33" s="5">
        <f>B33&amp;"|"&amp;C33&amp;"|"&amp;D33</f>
        <v/>
      </c>
      <c r="B33" s="4" t="inlineStr">
        <is>
          <t>2025</t>
        </is>
      </c>
      <c r="C33" s="4" t="inlineStr">
        <is>
          <t>2025Q1</t>
        </is>
      </c>
      <c r="D33" s="4" t="inlineStr">
        <is>
          <t>Vimeo Enterprise</t>
        </is>
      </c>
      <c r="E33" s="43" t="n">
        <v>4.1</v>
      </c>
      <c r="F33" s="43" t="n">
        <v>4</v>
      </c>
      <c r="G33" s="33" t="n">
        <v>24624</v>
      </c>
      <c r="H33" s="33" t="n">
        <v>22620</v>
      </c>
      <c r="I33" s="33" t="n">
        <v>24424</v>
      </c>
      <c r="J33" s="28">
        <f>G33*F33*90/365</f>
        <v/>
      </c>
      <c r="K33" s="35">
        <f>J33/I33-1</f>
        <v/>
      </c>
    </row>
    <row r="34">
      <c r="A34" s="5">
        <f>B34&amp;"|"&amp;C34&amp;"|"&amp;D34</f>
        <v/>
      </c>
      <c r="B34" s="4" t="inlineStr">
        <is>
          <t>2025</t>
        </is>
      </c>
      <c r="C34" s="4" t="inlineStr">
        <is>
          <t>2025Q1</t>
        </is>
      </c>
      <c r="D34" s="4" t="inlineStr">
        <is>
          <t>OTT</t>
        </is>
      </c>
      <c r="E34" s="43" t="n">
        <v>3.2</v>
      </c>
      <c r="F34" s="43" t="n">
        <v>3.2</v>
      </c>
      <c r="G34" s="33" t="n">
        <v>15696</v>
      </c>
      <c r="H34" s="33" t="n">
        <v>9066</v>
      </c>
      <c r="I34" s="33" t="n">
        <v>12243</v>
      </c>
      <c r="J34" s="28">
        <f>G34*F34*90/365</f>
        <v/>
      </c>
      <c r="K34" s="35">
        <f>J34/I34-1</f>
        <v/>
      </c>
    </row>
    <row r="35">
      <c r="A35" s="5">
        <f>B35&amp;"|"&amp;C35&amp;"|"&amp;D35</f>
        <v/>
      </c>
      <c r="B35" s="4" t="inlineStr">
        <is>
          <t>2025</t>
        </is>
      </c>
      <c r="C35" s="4" t="inlineStr">
        <is>
          <t>2025Q1</t>
        </is>
      </c>
      <c r="D35" s="4" t="inlineStr">
        <is>
          <t>Other</t>
        </is>
      </c>
      <c r="I35" s="33" t="n">
        <v>1673</v>
      </c>
    </row>
    <row r="36">
      <c r="A36" s="5">
        <f>B36&amp;"|"&amp;C36&amp;"|"&amp;D36</f>
        <v/>
      </c>
      <c r="B36" s="4" t="inlineStr">
        <is>
          <t>2025</t>
        </is>
      </c>
      <c r="C36" s="4" t="inlineStr">
        <is>
          <t>2025Q1</t>
        </is>
      </c>
      <c r="D36" s="4" t="inlineStr">
        <is>
          <t>Add-Ons</t>
        </is>
      </c>
      <c r="I36" s="33" t="n">
        <v>8582</v>
      </c>
    </row>
    <row r="37">
      <c r="A37" s="5">
        <f>B37&amp;"|"&amp;C37&amp;"|"&amp;D37</f>
        <v/>
      </c>
      <c r="B37" s="4" t="inlineStr">
        <is>
          <t>2025</t>
        </is>
      </c>
      <c r="C37" s="4" t="inlineStr">
        <is>
          <t>2025Q2</t>
        </is>
      </c>
      <c r="D37" s="4" t="inlineStr">
        <is>
          <t>Self-Serve</t>
        </is>
      </c>
      <c r="E37" s="43" t="n">
        <v>1156.5</v>
      </c>
      <c r="F37" s="43" t="n">
        <v>1172.9</v>
      </c>
      <c r="G37" s="33" t="n">
        <v>197</v>
      </c>
      <c r="H37" s="33" t="n">
        <v>64972</v>
      </c>
      <c r="I37" s="33" t="n">
        <v>57555</v>
      </c>
      <c r="J37" s="28">
        <f>G37*F37*91/365</f>
        <v/>
      </c>
      <c r="K37" s="35">
        <f>J37/I37-1</f>
        <v/>
      </c>
    </row>
    <row r="38">
      <c r="A38" s="5">
        <f>B38&amp;"|"&amp;C38&amp;"|"&amp;D38</f>
        <v/>
      </c>
      <c r="B38" s="4" t="inlineStr">
        <is>
          <t>2025</t>
        </is>
      </c>
      <c r="C38" s="4" t="inlineStr">
        <is>
          <t>2025Q2</t>
        </is>
      </c>
      <c r="D38" s="4" t="inlineStr">
        <is>
          <t>Vimeo Enterprise</t>
        </is>
      </c>
      <c r="E38" s="43" t="n">
        <v>4</v>
      </c>
      <c r="F38" s="43" t="n">
        <v>4.1</v>
      </c>
      <c r="G38" s="33" t="n">
        <v>24705</v>
      </c>
      <c r="H38" s="33" t="n">
        <v>25595</v>
      </c>
      <c r="I38" s="33" t="n">
        <v>24997</v>
      </c>
      <c r="J38" s="28">
        <f>G38*F38*91/365</f>
        <v/>
      </c>
      <c r="K38" s="35">
        <f>J38/I38-1</f>
        <v/>
      </c>
    </row>
    <row r="39">
      <c r="A39" s="5">
        <f>B39&amp;"|"&amp;C39&amp;"|"&amp;D39</f>
        <v/>
      </c>
      <c r="B39" s="4" t="inlineStr">
        <is>
          <t>2025</t>
        </is>
      </c>
      <c r="C39" s="4" t="inlineStr">
        <is>
          <t>2025Q2</t>
        </is>
      </c>
      <c r="D39" s="4" t="inlineStr">
        <is>
          <t>OTT</t>
        </is>
      </c>
      <c r="E39" s="43" t="n">
        <v>3.1</v>
      </c>
      <c r="F39" s="43" t="n">
        <v>3.1</v>
      </c>
      <c r="G39" s="33" t="n">
        <v>15720</v>
      </c>
      <c r="H39" s="33" t="n">
        <v>7364</v>
      </c>
      <c r="I39" s="33" t="n">
        <v>12268</v>
      </c>
      <c r="J39" s="28">
        <f>G39*F39*91/365</f>
        <v/>
      </c>
      <c r="K39" s="35">
        <f>J39/I39-1</f>
        <v/>
      </c>
    </row>
    <row r="40">
      <c r="A40" s="5">
        <f>B40&amp;"|"&amp;C40&amp;"|"&amp;D40</f>
        <v/>
      </c>
      <c r="B40" s="4" t="inlineStr">
        <is>
          <t>2025</t>
        </is>
      </c>
      <c r="C40" s="4" t="inlineStr">
        <is>
          <t>2025Q2</t>
        </is>
      </c>
      <c r="D40" s="4" t="inlineStr">
        <is>
          <t>Other</t>
        </is>
      </c>
      <c r="I40" s="33" t="n">
        <v>1633</v>
      </c>
    </row>
    <row r="41">
      <c r="A41" s="5">
        <f>B41&amp;"|"&amp;C41&amp;"|"&amp;D41</f>
        <v/>
      </c>
      <c r="B41" s="4" t="inlineStr">
        <is>
          <t>2025</t>
        </is>
      </c>
      <c r="C41" s="4" t="inlineStr">
        <is>
          <t>2025Q2</t>
        </is>
      </c>
      <c r="D41" s="4" t="inlineStr">
        <is>
          <t>Add-Ons</t>
        </is>
      </c>
      <c r="I41" s="33" t="n">
        <v>8197</v>
      </c>
    </row>
    <row r="42">
      <c r="A42" s="5">
        <f>B42&amp;"|"&amp;C42&amp;"|"&amp;D42</f>
        <v/>
      </c>
      <c r="B42" s="4" t="inlineStr">
        <is>
          <t>2025</t>
        </is>
      </c>
      <c r="C42" s="4" t="inlineStr">
        <is>
          <t>2025Q3</t>
        </is>
      </c>
      <c r="D42" s="4" t="inlineStr">
        <is>
          <t>Self-Serve</t>
        </is>
      </c>
      <c r="E42" s="43" t="n">
        <v>1127.9</v>
      </c>
      <c r="F42" s="43" t="n">
        <v>1142.2</v>
      </c>
      <c r="G42" s="33" t="n">
        <v>204</v>
      </c>
      <c r="H42" s="33" t="n">
        <v>60837</v>
      </c>
      <c r="I42" s="33" t="n">
        <v>58743</v>
      </c>
      <c r="J42" s="28">
        <f>G42*F42*92/365</f>
        <v/>
      </c>
      <c r="K42" s="35">
        <f>J42/I42-1</f>
        <v/>
      </c>
    </row>
    <row r="43">
      <c r="A43" s="5">
        <f>B43&amp;"|"&amp;C43&amp;"|"&amp;D43</f>
        <v/>
      </c>
      <c r="B43" s="4" t="inlineStr">
        <is>
          <t>2025</t>
        </is>
      </c>
      <c r="C43" s="4" t="inlineStr">
        <is>
          <t>2025Q3</t>
        </is>
      </c>
      <c r="D43" s="4" t="inlineStr">
        <is>
          <t>Vimeo Enterprise</t>
        </is>
      </c>
      <c r="E43" s="43" t="n">
        <v>4.2</v>
      </c>
      <c r="F43" s="43" t="n">
        <v>4.1</v>
      </c>
      <c r="G43" s="33" t="n">
        <v>24567</v>
      </c>
      <c r="H43" s="33" t="n">
        <v>24620</v>
      </c>
      <c r="I43" s="33" t="n">
        <v>25503</v>
      </c>
      <c r="J43" s="28">
        <f>G43*F43*92/365</f>
        <v/>
      </c>
      <c r="K43" s="35">
        <f>J43/I43-1</f>
        <v/>
      </c>
    </row>
    <row r="44">
      <c r="A44" s="5">
        <f>B44&amp;"|"&amp;C44&amp;"|"&amp;D44</f>
        <v/>
      </c>
      <c r="B44" s="4" t="inlineStr">
        <is>
          <t>2025</t>
        </is>
      </c>
      <c r="C44" s="4" t="inlineStr">
        <is>
          <t>2025Q3</t>
        </is>
      </c>
      <c r="D44" s="4" t="inlineStr">
        <is>
          <t>OTT</t>
        </is>
      </c>
      <c r="E44" s="43" t="n">
        <v>3.1</v>
      </c>
      <c r="F44" s="43" t="n">
        <v>3.1</v>
      </c>
      <c r="G44" s="33" t="n">
        <v>15240</v>
      </c>
      <c r="H44" s="33" t="n">
        <v>8221</v>
      </c>
      <c r="I44" s="33" t="n">
        <v>11881</v>
      </c>
      <c r="J44" s="28">
        <f>G44*F44*92/365</f>
        <v/>
      </c>
      <c r="K44" s="35">
        <f>J44/I44-1</f>
        <v/>
      </c>
    </row>
    <row r="45">
      <c r="A45" s="5">
        <f>B45&amp;"|"&amp;C45&amp;"|"&amp;D45</f>
        <v/>
      </c>
      <c r="B45" s="4" t="inlineStr">
        <is>
          <t>2025</t>
        </is>
      </c>
      <c r="C45" s="4" t="inlineStr">
        <is>
          <t>2025Q3</t>
        </is>
      </c>
      <c r="D45" s="4" t="inlineStr">
        <is>
          <t>Other</t>
        </is>
      </c>
      <c r="I45" s="33" t="n">
        <v>1604</v>
      </c>
    </row>
    <row r="46">
      <c r="A46" s="5">
        <f>B46&amp;"|"&amp;C46&amp;"|"&amp;D46</f>
        <v/>
      </c>
      <c r="B46" s="4" t="inlineStr">
        <is>
          <t>2025</t>
        </is>
      </c>
      <c r="C46" s="4" t="inlineStr">
        <is>
          <t>2025Q3</t>
        </is>
      </c>
      <c r="D46" s="4" t="inlineStr">
        <is>
          <t>Add-Ons</t>
        </is>
      </c>
      <c r="I46" s="33" t="n">
        <v>8025</v>
      </c>
    </row>
    <row r="48">
      <c r="D48" s="14" t="inlineStr">
        <is>
          <t>Largest gap</t>
        </is>
      </c>
      <c r="K48" s="44">
        <f>MAX(MAX(K5:K46),-MIN(K5:K46))</f>
        <v/>
      </c>
    </row>
  </sheetData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1">
      <c r="A1" s="12" t="inlineStr">
        <is>
          <t>P&amp;L from XBRL facts</t>
        </is>
      </c>
    </row>
    <row r="2">
      <c r="A2" s="13" t="inlineStr">
        <is>
          <t>US$ millions. Blue figures from data/sec_financials.csv; ratios are formulas.</t>
        </is>
      </c>
    </row>
    <row r="4" ht="20" customHeight="1">
      <c r="A4" s="22" t="inlineStr"/>
      <c r="B4" s="22" t="inlineStr">
        <is>
          <t>2021</t>
        </is>
      </c>
      <c r="C4" s="22" t="inlineStr">
        <is>
          <t>2022</t>
        </is>
      </c>
      <c r="D4" s="22" t="inlineStr">
        <is>
          <t>2023</t>
        </is>
      </c>
      <c r="E4" s="22" t="inlineStr">
        <is>
          <t>2024</t>
        </is>
      </c>
      <c r="F4" s="22" t="inlineStr">
        <is>
          <t>2024Q1</t>
        </is>
      </c>
      <c r="G4" s="22" t="inlineStr">
        <is>
          <t>2024Q2</t>
        </is>
      </c>
      <c r="H4" s="22" t="inlineStr">
        <is>
          <t>2024Q3</t>
        </is>
      </c>
      <c r="I4" s="22" t="inlineStr">
        <is>
          <t>2025Q1</t>
        </is>
      </c>
      <c r="J4" s="22" t="inlineStr">
        <is>
          <t>2025Q2</t>
        </is>
      </c>
      <c r="K4" s="22" t="inlineStr">
        <is>
          <t>2025Q3</t>
        </is>
      </c>
    </row>
    <row r="5">
      <c r="A5" s="14" t="inlineStr">
        <is>
          <t>Revenue</t>
        </is>
      </c>
      <c r="B5" s="43" t="n">
        <v>391.678</v>
      </c>
      <c r="C5" s="43" t="n">
        <v>433.028</v>
      </c>
      <c r="D5" s="43" t="n">
        <v>417.214</v>
      </c>
      <c r="E5" s="43" t="n">
        <v>417.006</v>
      </c>
      <c r="F5" s="43" t="n">
        <v>104.91</v>
      </c>
      <c r="G5" s="43" t="n">
        <v>104.376</v>
      </c>
      <c r="H5" s="43" t="n">
        <v>104.564</v>
      </c>
      <c r="I5" s="43" t="n">
        <v>103.034</v>
      </c>
      <c r="J5" s="43" t="n">
        <v>104.65</v>
      </c>
      <c r="K5" s="43" t="n">
        <v>105.756</v>
      </c>
    </row>
    <row r="6">
      <c r="A6" s="5" t="inlineStr">
        <is>
          <t>Cost of revenue</t>
        </is>
      </c>
      <c r="B6" s="43" t="n">
        <v>102.537</v>
      </c>
      <c r="C6" s="43" t="n">
        <v>103.595</v>
      </c>
      <c r="D6" s="43" t="n">
        <v>91.57599999999999</v>
      </c>
      <c r="E6" s="43" t="n">
        <v>90.73099999999999</v>
      </c>
      <c r="F6" s="43" t="n">
        <v>23.443</v>
      </c>
      <c r="G6" s="43" t="n">
        <v>22.678</v>
      </c>
      <c r="H6" s="43" t="n">
        <v>21.708</v>
      </c>
      <c r="I6" s="43" t="n">
        <v>24.054</v>
      </c>
      <c r="J6" s="43" t="n">
        <v>23.147</v>
      </c>
      <c r="K6" s="43" t="n">
        <v>23.414</v>
      </c>
    </row>
    <row r="7">
      <c r="A7" s="5" t="inlineStr">
        <is>
          <t>Sales and marketing</t>
        </is>
      </c>
      <c r="B7" s="43" t="n">
        <v>152.691</v>
      </c>
      <c r="C7" s="43" t="n">
        <v>170.401</v>
      </c>
      <c r="D7" s="43" t="n">
        <v>151.487</v>
      </c>
      <c r="E7" s="43" t="n">
        <v>119.869</v>
      </c>
      <c r="F7" s="43" t="n">
        <v>32.305</v>
      </c>
      <c r="G7" s="43" t="n">
        <v>27.676</v>
      </c>
      <c r="H7" s="43" t="n">
        <v>28.799</v>
      </c>
      <c r="I7" s="43" t="n">
        <v>33.358</v>
      </c>
      <c r="J7" s="43" t="n">
        <v>30.26</v>
      </c>
      <c r="K7" s="43" t="n">
        <v>30.44</v>
      </c>
    </row>
    <row r="8">
      <c r="A8" s="5" t="inlineStr">
        <is>
          <t>Research and development</t>
        </is>
      </c>
      <c r="B8" s="43" t="n">
        <v>105.586</v>
      </c>
      <c r="C8" s="43" t="n">
        <v>127.661</v>
      </c>
      <c r="D8" s="43" t="n">
        <v>107.074</v>
      </c>
      <c r="E8" s="43" t="n">
        <v>109.373</v>
      </c>
      <c r="F8" s="43" t="n">
        <v>28.135</v>
      </c>
      <c r="G8" s="43" t="n">
        <v>26.972</v>
      </c>
      <c r="H8" s="43" t="n">
        <v>26.588</v>
      </c>
      <c r="I8" s="43" t="n">
        <v>31.186</v>
      </c>
      <c r="J8" s="43" t="n">
        <v>29.789</v>
      </c>
      <c r="K8" s="43" t="n">
        <v>31.208</v>
      </c>
    </row>
    <row r="9">
      <c r="A9" s="5" t="inlineStr">
        <is>
          <t>General and administrative</t>
        </is>
      </c>
      <c r="B9" s="43" t="n">
        <v>85.111</v>
      </c>
      <c r="C9" s="43" t="n">
        <v>107.011</v>
      </c>
      <c r="D9" s="43" t="n">
        <v>49.194</v>
      </c>
      <c r="E9" s="43" t="n">
        <v>76.604</v>
      </c>
      <c r="F9" s="43" t="n">
        <v>18.034</v>
      </c>
      <c r="G9" s="43" t="n">
        <v>19.087</v>
      </c>
      <c r="H9" s="43" t="n">
        <v>19.655</v>
      </c>
      <c r="I9" s="43" t="n">
        <v>20.137</v>
      </c>
      <c r="J9" s="43" t="n">
        <v>17.194</v>
      </c>
      <c r="K9" s="43" t="n">
        <v>24.832</v>
      </c>
    </row>
    <row r="10">
      <c r="A10" s="14" t="inlineStr">
        <is>
          <t>Operating income</t>
        </is>
      </c>
      <c r="B10" s="43" t="n">
        <v>-61.016</v>
      </c>
      <c r="C10" s="43" t="n">
        <v>-82.938</v>
      </c>
      <c r="D10" s="43" t="n">
        <v>13.047</v>
      </c>
      <c r="E10" s="43" t="n">
        <v>18.683</v>
      </c>
      <c r="F10" s="43" t="n">
        <v>2.589</v>
      </c>
      <c r="G10" s="43" t="n">
        <v>7.461</v>
      </c>
      <c r="H10" s="43" t="n">
        <v>7.365</v>
      </c>
      <c r="I10" s="43" t="n">
        <v>-6.092</v>
      </c>
      <c r="J10" s="43" t="n">
        <v>3.724</v>
      </c>
      <c r="K10" s="43" t="n">
        <v>-4.591</v>
      </c>
    </row>
    <row r="11">
      <c r="A11" s="5" t="inlineStr">
        <is>
          <t>Advertising</t>
        </is>
      </c>
      <c r="B11" s="43" t="n">
        <v>87.09999999999999</v>
      </c>
      <c r="C11" s="43" t="n">
        <v>76.40000000000001</v>
      </c>
      <c r="D11" s="43" t="n">
        <v>60.4</v>
      </c>
      <c r="E11" s="43" t="n">
        <v>32.4</v>
      </c>
    </row>
    <row r="13">
      <c r="A13" s="5" t="inlineStr">
        <is>
          <t>Gross margin</t>
        </is>
      </c>
      <c r="B13" s="45">
        <f>1-B6/B5</f>
        <v/>
      </c>
      <c r="C13" s="45">
        <f>1-C6/C5</f>
        <v/>
      </c>
      <c r="D13" s="45">
        <f>1-D6/D5</f>
        <v/>
      </c>
      <c r="E13" s="45">
        <f>1-E6/E5</f>
        <v/>
      </c>
      <c r="F13" s="45">
        <f>1-F6/F5</f>
        <v/>
      </c>
      <c r="G13" s="45">
        <f>1-G6/G5</f>
        <v/>
      </c>
      <c r="H13" s="45">
        <f>1-H6/H5</f>
        <v/>
      </c>
      <c r="I13" s="45">
        <f>1-I6/I5</f>
        <v/>
      </c>
      <c r="J13" s="45">
        <f>1-J6/J5</f>
        <v/>
      </c>
      <c r="K13" s="45">
        <f>1-K6/K5</f>
        <v/>
      </c>
    </row>
    <row r="14">
      <c r="A14" s="5" t="inlineStr">
        <is>
          <t>Sales and marketing, % revenue</t>
        </is>
      </c>
      <c r="B14" s="45">
        <f>B7/B5</f>
        <v/>
      </c>
      <c r="C14" s="45">
        <f>C7/C5</f>
        <v/>
      </c>
      <c r="D14" s="45">
        <f>D7/D5</f>
        <v/>
      </c>
      <c r="E14" s="45">
        <f>E7/E5</f>
        <v/>
      </c>
      <c r="F14" s="45">
        <f>F7/F5</f>
        <v/>
      </c>
      <c r="G14" s="45">
        <f>G7/G5</f>
        <v/>
      </c>
      <c r="H14" s="45">
        <f>H7/H5</f>
        <v/>
      </c>
      <c r="I14" s="45">
        <f>I7/I5</f>
        <v/>
      </c>
      <c r="J14" s="45">
        <f>J7/J5</f>
        <v/>
      </c>
      <c r="K14" s="45">
        <f>K7/K5</f>
        <v/>
      </c>
    </row>
    <row r="15">
      <c r="A15" s="5" t="inlineStr">
        <is>
          <t>Research and development, % revenue</t>
        </is>
      </c>
      <c r="B15" s="45">
        <f>B8/B5</f>
        <v/>
      </c>
      <c r="C15" s="45">
        <f>C8/C5</f>
        <v/>
      </c>
      <c r="D15" s="45">
        <f>D8/D5</f>
        <v/>
      </c>
      <c r="E15" s="45">
        <f>E8/E5</f>
        <v/>
      </c>
      <c r="F15" s="45">
        <f>F8/F5</f>
        <v/>
      </c>
      <c r="G15" s="45">
        <f>G8/G5</f>
        <v/>
      </c>
      <c r="H15" s="45">
        <f>H8/H5</f>
        <v/>
      </c>
      <c r="I15" s="45">
        <f>I8/I5</f>
        <v/>
      </c>
      <c r="J15" s="45">
        <f>J8/J5</f>
        <v/>
      </c>
      <c r="K15" s="45">
        <f>K8/K5</f>
        <v/>
      </c>
    </row>
    <row r="16">
      <c r="A16" s="5" t="inlineStr">
        <is>
          <t>General and administrative, % revenue</t>
        </is>
      </c>
      <c r="B16" s="45">
        <f>B9/B5</f>
        <v/>
      </c>
      <c r="C16" s="45">
        <f>C9/C5</f>
        <v/>
      </c>
      <c r="D16" s="45">
        <f>D9/D5</f>
        <v/>
      </c>
      <c r="E16" s="45">
        <f>E9/E5</f>
        <v/>
      </c>
      <c r="F16" s="45">
        <f>F9/F5</f>
        <v/>
      </c>
      <c r="G16" s="45">
        <f>G9/G5</f>
        <v/>
      </c>
      <c r="H16" s="45">
        <f>H9/H5</f>
        <v/>
      </c>
      <c r="I16" s="45">
        <f>I9/I5</f>
        <v/>
      </c>
      <c r="J16" s="45">
        <f>J9/J5</f>
        <v/>
      </c>
      <c r="K16" s="45">
        <f>K9/K5</f>
        <v/>
      </c>
    </row>
    <row r="17">
      <c r="A17" s="5" t="inlineStr">
        <is>
          <t>Operating margin</t>
        </is>
      </c>
      <c r="B17" s="45">
        <f>B10/B5</f>
        <v/>
      </c>
      <c r="C17" s="45">
        <f>C10/C5</f>
        <v/>
      </c>
      <c r="D17" s="45">
        <f>D10/D5</f>
        <v/>
      </c>
      <c r="E17" s="45">
        <f>E10/E5</f>
        <v/>
      </c>
      <c r="F17" s="45">
        <f>F10/F5</f>
        <v/>
      </c>
      <c r="G17" s="45">
        <f>G10/G5</f>
        <v/>
      </c>
      <c r="H17" s="45">
        <f>H10/H5</f>
        <v/>
      </c>
      <c r="I17" s="45">
        <f>I10/I5</f>
        <v/>
      </c>
      <c r="J17" s="45">
        <f>J10/J5</f>
        <v/>
      </c>
      <c r="K17" s="45">
        <f>K10/K5</f>
        <v/>
      </c>
    </row>
    <row r="18">
      <c r="A18" s="5" t="inlineStr">
        <is>
          <t>Advertising, % revenue</t>
        </is>
      </c>
      <c r="B18" s="45">
        <f>IF(B11="","",B11/B5)</f>
        <v/>
      </c>
      <c r="C18" s="45">
        <f>IF(C11="","",C11/C5)</f>
        <v/>
      </c>
      <c r="D18" s="45">
        <f>IF(D11="","",D11/D5)</f>
        <v/>
      </c>
      <c r="E18" s="45">
        <f>IF(E11="","",E11/E5)</f>
        <v/>
      </c>
      <c r="F18" s="45">
        <f>IF(F11="","",F11/F5)</f>
        <v/>
      </c>
      <c r="G18" s="45">
        <f>IF(G11="","",G11/G5)</f>
        <v/>
      </c>
      <c r="H18" s="45">
        <f>IF(H11="","",H11/H5)</f>
        <v/>
      </c>
      <c r="I18" s="45">
        <f>IF(I11="","",I11/I5)</f>
        <v/>
      </c>
      <c r="J18" s="45">
        <f>IF(J11="","",J11/J5)</f>
        <v/>
      </c>
      <c r="K18" s="45">
        <f>IF(K11="","",K11/K5)</f>
        <v/>
      </c>
    </row>
  </sheetData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0" customWidth="1" min="2" max="2"/>
    <col width="16" customWidth="1" min="3" max="3"/>
    <col width="80" customWidth="1" min="4" max="4"/>
  </cols>
  <sheetData>
    <row r="1">
      <c r="A1" s="12" t="inlineStr">
        <is>
          <t>Inputs</t>
        </is>
      </c>
    </row>
    <row r="2">
      <c r="A2" s="13" t="inlineStr">
        <is>
          <t>Blue = input. Yellow = the assumptions the result depends on most. Sources in docs/assumptions.md.</t>
        </is>
      </c>
    </row>
    <row r="4" ht="20" customHeight="1">
      <c r="A4" s="22" t="inlineStr"/>
      <c r="B4" s="22" t="inlineStr">
        <is>
          <t>Assumption</t>
        </is>
      </c>
      <c r="C4" s="22" t="inlineStr">
        <is>
          <t>Value</t>
        </is>
      </c>
      <c r="D4" s="22" t="inlineStr">
        <is>
          <t>Why</t>
        </is>
      </c>
    </row>
    <row r="5">
      <c r="B5" s="5" t="inlineStr">
        <is>
          <t>Share of Self-Serve accounts with team-level signals</t>
        </is>
      </c>
      <c r="C5" s="46" t="n">
        <v>0.02</v>
      </c>
      <c r="D5" s="13" t="inlineStr">
        <is>
          <t>Seats, single sign-on interest, bandwidth, company domains: the accounts sales would call.</t>
        </is>
      </c>
    </row>
    <row r="6">
      <c r="B6" s="5" t="inlineStr">
        <is>
          <t>Extra upgrades per eligible account per year, caused by outreach</t>
        </is>
      </c>
      <c r="C6" s="47" t="n">
        <v>0.01</v>
      </c>
      <c r="D6" s="13" t="inlineStr">
        <is>
          <t>The unknown the test measures. 1% a year is the plan, not a forecast.</t>
        </is>
      </c>
    </row>
    <row r="7">
      <c r="B7" s="5" t="inlineStr">
        <is>
          <t>First-year contract value, share of average Enterprise ARPU</t>
        </is>
      </c>
      <c r="C7" s="48" t="n">
        <v>0.5</v>
      </c>
      <c r="D7" s="13" t="inlineStr">
        <is>
          <t>Upgrades from Self-Serve start smaller than the average Enterprise account.</t>
        </is>
      </c>
    </row>
    <row r="8">
      <c r="B8" s="5" t="inlineStr">
        <is>
          <t>Net revenue retention of upgraded accounts after year one</t>
        </is>
      </c>
      <c r="C8" s="38" t="n">
        <v>0.9</v>
      </c>
      <c r="D8" s="13" t="inlineStr"/>
    </row>
    <row r="9">
      <c r="B9" s="5" t="inlineStr">
        <is>
          <t>Upgrades stop paying their Self-Serve plan (1 = yes)</t>
        </is>
      </c>
      <c r="C9" s="49" t="n">
        <v>1</v>
      </c>
      <c r="D9" s="13" t="inlineStr"/>
    </row>
    <row r="10">
      <c r="B10" s="5" t="inlineStr">
        <is>
          <t>Fully loaded cost of one account executive per year</t>
        </is>
      </c>
      <c r="C10" s="50" t="n">
        <v>180000</v>
      </c>
      <c r="D10" s="13" t="inlineStr"/>
    </row>
    <row r="11">
      <c r="B11" s="5" t="inlineStr">
        <is>
          <t>Upgrades one account executive closes per year</t>
        </is>
      </c>
      <c r="C11" s="33" t="n">
        <v>40</v>
      </c>
      <c r="D11" s="13" t="inlineStr"/>
    </row>
    <row r="12">
      <c r="B12" s="5" t="inlineStr">
        <is>
          <t>Uplift the team is hired for</t>
        </is>
      </c>
      <c r="C12" s="37" t="n">
        <v>0.01</v>
      </c>
      <c r="D12" s="13" t="inlineStr">
        <is>
          <t>The team is hired before the real uplift is known: a fixed cost.</t>
        </is>
      </c>
    </row>
    <row r="13">
      <c r="B13" s="5" t="inlineStr">
        <is>
          <t>Outreach cost per eligible account per year</t>
        </is>
      </c>
      <c r="C13" s="51" t="n">
        <v>30</v>
      </c>
      <c r="D13" s="13" t="inlineStr">
        <is>
          <t>Sales development time, in-product prompts, tooling.</t>
        </is>
      </c>
    </row>
    <row r="14">
      <c r="B14" s="5" t="inlineStr">
        <is>
          <t>Gross margin on the new revenue</t>
        </is>
      </c>
      <c r="C14" s="38" t="n">
        <v>0.78</v>
      </c>
      <c r="D14" s="13" t="inlineStr">
        <is>
          <t>Vimeo's gross margin was 78% in 2024.</t>
        </is>
      </c>
    </row>
    <row r="15">
      <c r="B15" s="5" t="inlineStr">
        <is>
          <t>One-off build of scoring and routing</t>
        </is>
      </c>
      <c r="C15" s="50" t="n">
        <v>400000</v>
      </c>
      <c r="D15" s="13" t="inlineStr"/>
    </row>
    <row r="16">
      <c r="B16" s="5" t="inlineStr">
        <is>
          <t>Discount rate</t>
        </is>
      </c>
      <c r="C16" s="38" t="n">
        <v>0.1</v>
      </c>
      <c r="D16" s="13" t="inlineStr"/>
    </row>
    <row r="17">
      <c r="B17" s="5" t="inlineStr">
        <is>
          <t>Test: significance level</t>
        </is>
      </c>
      <c r="C17" s="38" t="n">
        <v>0.05</v>
      </c>
      <c r="D17" s="13" t="inlineStr"/>
    </row>
    <row r="18">
      <c r="B18" s="5" t="inlineStr">
        <is>
          <t>Test: power</t>
        </is>
      </c>
      <c r="C18" s="38" t="n">
        <v>0.8</v>
      </c>
      <c r="D18" s="13" t="inlineStr"/>
    </row>
    <row r="19">
      <c r="B19" s="5" t="inlineStr">
        <is>
          <t>Test: organic upgrades per eligible account in 90 days</t>
        </is>
      </c>
      <c r="C19" s="47" t="n">
        <v>0.004</v>
      </c>
      <c r="D19" s="13" t="inlineStr">
        <is>
          <t>Not public: to be read from Vimeo's own data before the test.</t>
        </is>
      </c>
    </row>
    <row r="20">
      <c r="B20" s="5" t="inlineStr">
        <is>
          <t>Test: Self-Serve cancellations in 90 days</t>
        </is>
      </c>
      <c r="C20" s="39" t="n">
        <v>0.03</v>
      </c>
      <c r="D20" s="13" t="inlineStr"/>
    </row>
    <row r="21">
      <c r="B21" s="5" t="inlineStr">
        <is>
          <t>Test: largest rise in cancellations accepted, per 90 days</t>
        </is>
      </c>
      <c r="C21" s="37" t="n">
        <v>0.005</v>
      </c>
      <c r="D21" s="13" t="inlineStr"/>
    </row>
  </sheetData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58" customWidth="1" min="2" max="2"/>
    <col width="3" customWidth="1" min="3" max="3"/>
    <col width="20" customWidth="1" min="4" max="4"/>
    <col width="20" customWidth="1" min="5" max="5"/>
    <col width="14" customWidth="1" min="6" max="6"/>
    <col width="8" customWidth="1" min="7" max="7"/>
  </cols>
  <sheetData>
    <row r="1">
      <c r="A1" s="12" t="inlineStr">
        <is>
          <t>Reconciliation: workbook formulas against the Python pipeline</t>
        </is>
      </c>
    </row>
    <row r="2">
      <c r="A2" s="13" t="inlineStr">
        <is>
          <t>Column D was written by src/build_workbook.py from the pandas results; column E is the live formula.</t>
        </is>
      </c>
    </row>
    <row r="3">
      <c r="B3" s="36">
        <f>IF(COUNTIF(G7:G215,"No")=0,"All "&amp;COUNTA(B7:B215)&amp;" checks match",COUNTIF(G7:G215,"No")&amp;" of "&amp;COUNTA(B7:B215)&amp;" checks do not match")</f>
        <v/>
      </c>
    </row>
    <row r="6" ht="32" customHeight="1">
      <c r="A6" s="22" t="inlineStr">
        <is>
          <t>Area</t>
        </is>
      </c>
      <c r="B6" s="22" t="inlineStr">
        <is>
          <t>Item</t>
        </is>
      </c>
      <c r="C6" s="22" t="inlineStr"/>
      <c r="D6" s="22" t="inlineStr">
        <is>
          <t>Python value</t>
        </is>
      </c>
      <c r="E6" s="22" t="inlineStr">
        <is>
          <t>Workbook value</t>
        </is>
      </c>
      <c r="F6" s="22" t="inlineStr">
        <is>
          <t>Difference</t>
        </is>
      </c>
      <c r="G6" s="22" t="inlineStr">
        <is>
          <t>Match</t>
        </is>
      </c>
    </row>
    <row r="7">
      <c r="A7" s="5" t="inlineStr">
        <is>
          <t>Segments</t>
        </is>
      </c>
      <c r="B7" s="5" t="inlineStr">
        <is>
          <t>2021 Vimeo Enterprise ARPU x average</t>
        </is>
      </c>
      <c r="D7" s="52" t="n">
        <v>23619.6</v>
      </c>
      <c r="E7" s="53">
        <f>Segments!J6</f>
        <v/>
      </c>
      <c r="F7" s="54">
        <f>IF(AND(ISNUMBER(D7),ISNUMBER(E7)),E7-D7,"")</f>
        <v/>
      </c>
      <c r="G7" s="5">
        <f>IF(AND(D7="",E7=""),"Yes",IF(AND(ISNUMBER(D7),ISNUMBER(E7)),IF(ABS(E7-D7)&lt;=1E-6*MAX(1,ABS(D7)),"Yes","No"),IF(D7=E7,"Yes","No")))</f>
        <v/>
      </c>
    </row>
    <row r="8">
      <c r="A8" s="5" t="inlineStr">
        <is>
          <t>Segments</t>
        </is>
      </c>
      <c r="B8" s="5" t="inlineStr">
        <is>
          <t>2022 Vimeo Enterprise ARPU x average</t>
        </is>
      </c>
      <c r="D8" s="52" t="n">
        <v>38609.9</v>
      </c>
      <c r="E8" s="53">
        <f>Segments!J9</f>
        <v/>
      </c>
      <c r="F8" s="54">
        <f>IF(AND(ISNUMBER(D8),ISNUMBER(E8)),E8-D8,"")</f>
        <v/>
      </c>
      <c r="G8" s="5">
        <f>IF(AND(D8="",E8=""),"Yes",IF(AND(ISNUMBER(D8),ISNUMBER(E8)),IF(ABS(E8-D8)&lt;=1E-6*MAX(1,ABS(D8)),"Yes","No"),IF(D8=E8,"Yes","No")))</f>
        <v/>
      </c>
    </row>
    <row r="9">
      <c r="A9" s="5" t="inlineStr">
        <is>
          <t>Segments</t>
        </is>
      </c>
      <c r="B9" s="5" t="inlineStr">
        <is>
          <t>2023 Vimeo Enterprise ARPU x average</t>
        </is>
      </c>
      <c r="D9" s="52" t="n">
        <v>56753.2</v>
      </c>
      <c r="E9" s="53">
        <f>Segments!J12</f>
        <v/>
      </c>
      <c r="F9" s="54">
        <f>IF(AND(ISNUMBER(D9),ISNUMBER(E9)),E9-D9,"")</f>
        <v/>
      </c>
      <c r="G9" s="5">
        <f>IF(AND(D9="",E9=""),"Yes",IF(AND(ISNUMBER(D9),ISNUMBER(E9)),IF(ABS(E9-D9)&lt;=1E-6*MAX(1,ABS(D9)),"Yes","No"),IF(D9=E9,"Yes","No")))</f>
        <v/>
      </c>
    </row>
    <row r="10">
      <c r="A10" s="5" t="inlineStr">
        <is>
          <t>Segments</t>
        </is>
      </c>
      <c r="B10" s="5" t="inlineStr">
        <is>
          <t>2024 Vimeo Enterprise ARPU x average</t>
        </is>
      </c>
      <c r="D10" s="52" t="n">
        <v>84193.5</v>
      </c>
      <c r="E10" s="53">
        <f>Segments!J15</f>
        <v/>
      </c>
      <c r="F10" s="54">
        <f>IF(AND(ISNUMBER(D10),ISNUMBER(E10)),E10-D10,"")</f>
        <v/>
      </c>
      <c r="G10" s="5">
        <f>IF(AND(D10="",E10=""),"Yes",IF(AND(ISNUMBER(D10),ISNUMBER(E10)),IF(ABS(E10-D10)&lt;=1E-6*MAX(1,ABS(D10)),"Yes","No"),IF(D10=E10,"Yes","No")))</f>
        <v/>
      </c>
    </row>
    <row r="11">
      <c r="A11" s="5" t="inlineStr">
        <is>
          <t>Segments</t>
        </is>
      </c>
      <c r="B11" s="5" t="inlineStr">
        <is>
          <t>2024Q1 Vimeo Enterprise ARPU x average</t>
        </is>
      </c>
      <c r="D11" s="52" t="n">
        <v>18451.24453551913</v>
      </c>
      <c r="E11" s="53">
        <f>Segments!J18</f>
        <v/>
      </c>
      <c r="F11" s="54">
        <f>IF(AND(ISNUMBER(D11),ISNUMBER(E11)),E11-D11,"")</f>
        <v/>
      </c>
      <c r="G11" s="5">
        <f>IF(AND(D11="",E11=""),"Yes",IF(AND(ISNUMBER(D11),ISNUMBER(E11)),IF(ABS(E11-D11)&lt;=1E-6*MAX(1,ABS(D11)),"Yes","No"),IF(D11=E11,"Yes","No")))</f>
        <v/>
      </c>
    </row>
    <row r="12">
      <c r="A12" s="5" t="inlineStr">
        <is>
          <t>Segments</t>
        </is>
      </c>
      <c r="B12" s="5" t="inlineStr">
        <is>
          <t>2024Q2 OTT ARPU x average</t>
        </is>
      </c>
      <c r="D12" s="52" t="n">
        <v>12760.1393442623</v>
      </c>
      <c r="E12" s="53">
        <f>Segments!J24</f>
        <v/>
      </c>
      <c r="F12" s="54">
        <f>IF(AND(ISNUMBER(D12),ISNUMBER(E12)),E12-D12,"")</f>
        <v/>
      </c>
      <c r="G12" s="5">
        <f>IF(AND(D12="",E12=""),"Yes",IF(AND(ISNUMBER(D12),ISNUMBER(E12)),IF(ABS(E12-D12)&lt;=1E-6*MAX(1,ABS(D12)),"Yes","No"),IF(D12=E12,"Yes","No")))</f>
        <v/>
      </c>
    </row>
    <row r="13">
      <c r="A13" s="5" t="inlineStr">
        <is>
          <t>Segments</t>
        </is>
      </c>
      <c r="B13" s="5" t="inlineStr">
        <is>
          <t>2024Q3 Self-Serve ARPU x average</t>
        </is>
      </c>
      <c r="D13" s="52" t="n">
        <v>58400.29289617486</v>
      </c>
      <c r="E13" s="53">
        <f>Segments!J27</f>
        <v/>
      </c>
      <c r="F13" s="54">
        <f>IF(AND(ISNUMBER(D13),ISNUMBER(E13)),E13-D13,"")</f>
        <v/>
      </c>
      <c r="G13" s="5">
        <f>IF(AND(D13="",E13=""),"Yes",IF(AND(ISNUMBER(D13),ISNUMBER(E13)),IF(ABS(E13-D13)&lt;=1E-6*MAX(1,ABS(D13)),"Yes","No"),IF(D13=E13,"Yes","No")))</f>
        <v/>
      </c>
    </row>
    <row r="14">
      <c r="A14" s="5" t="inlineStr">
        <is>
          <t>Segments</t>
        </is>
      </c>
      <c r="B14" s="5" t="inlineStr">
        <is>
          <t>2025Q1 Vimeo Enterprise ARPU x average</t>
        </is>
      </c>
      <c r="D14" s="52" t="n">
        <v>24286.68493150685</v>
      </c>
      <c r="E14" s="53">
        <f>Segments!J33</f>
        <v/>
      </c>
      <c r="F14" s="54">
        <f>IF(AND(ISNUMBER(D14),ISNUMBER(E14)),E14-D14,"")</f>
        <v/>
      </c>
      <c r="G14" s="5">
        <f>IF(AND(D14="",E14=""),"Yes",IF(AND(ISNUMBER(D14),ISNUMBER(E14)),IF(ABS(E14-D14)&lt;=1E-6*MAX(1,ABS(D14)),"Yes","No"),IF(D14=E14,"Yes","No")))</f>
        <v/>
      </c>
    </row>
    <row r="15">
      <c r="A15" s="5" t="inlineStr">
        <is>
          <t>Segments</t>
        </is>
      </c>
      <c r="B15" s="5" t="inlineStr">
        <is>
          <t>2025Q2 OTT ARPU x average</t>
        </is>
      </c>
      <c r="D15" s="52" t="n">
        <v>12149.62191780822</v>
      </c>
      <c r="E15" s="53">
        <f>Segments!J39</f>
        <v/>
      </c>
      <c r="F15" s="54">
        <f>IF(AND(ISNUMBER(D15),ISNUMBER(E15)),E15-D15,"")</f>
        <v/>
      </c>
      <c r="G15" s="5">
        <f>IF(AND(D15="",E15=""),"Yes",IF(AND(ISNUMBER(D15),ISNUMBER(E15)),IF(ABS(E15-D15)&lt;=1E-6*MAX(1,ABS(D15)),"Yes","No"),IF(D15=E15,"Yes","No")))</f>
        <v/>
      </c>
    </row>
    <row r="16">
      <c r="A16" s="5" t="inlineStr">
        <is>
          <t>Segments</t>
        </is>
      </c>
      <c r="B16" s="5" t="inlineStr">
        <is>
          <t>2025Q3 Self-Serve ARPU x average</t>
        </is>
      </c>
      <c r="D16" s="52" t="n">
        <v>58730.98520547945</v>
      </c>
      <c r="E16" s="53">
        <f>Segments!J42</f>
        <v/>
      </c>
      <c r="F16" s="54">
        <f>IF(AND(ISNUMBER(D16),ISNUMBER(E16)),E16-D16,"")</f>
        <v/>
      </c>
      <c r="G16" s="5">
        <f>IF(AND(D16="",E16=""),"Yes",IF(AND(ISNUMBER(D16),ISNUMBER(E16)),IF(ABS(E16-D16)&lt;=1E-6*MAX(1,ABS(D16)),"Yes","No"),IF(D16=E16,"Yes","No")))</f>
        <v/>
      </c>
    </row>
    <row r="17">
      <c r="A17" s="5" t="inlineStr">
        <is>
          <t>Segments</t>
        </is>
      </c>
      <c r="B17" s="5" t="inlineStr">
        <is>
          <t>Largest ARPU x average gap</t>
        </is>
      </c>
      <c r="D17" s="52" t="n">
        <v>0.01683430521249774</v>
      </c>
      <c r="E17" s="53">
        <f>Segments!K48</f>
        <v/>
      </c>
      <c r="F17" s="54">
        <f>IF(AND(ISNUMBER(D17),ISNUMBER(E17)),E17-D17,"")</f>
        <v/>
      </c>
      <c r="G17" s="5">
        <f>IF(AND(D17="",E17=""),"Yes",IF(AND(ISNUMBER(D17),ISNUMBER(E17)),IF(ABS(E17-D17)&lt;=1E-6*MAX(1,ABS(D17)),"Yes","No"),IF(D17=E17,"Yes","No")))</f>
        <v/>
      </c>
    </row>
    <row r="18">
      <c r="A18" s="5" t="inlineStr">
        <is>
          <t>P&amp;L</t>
        </is>
      </c>
      <c r="B18" s="5" t="inlineStr">
        <is>
          <t>2021 Gross margin</t>
        </is>
      </c>
      <c r="D18" s="52" t="n">
        <v>0.7382109794269782</v>
      </c>
      <c r="E18" s="53">
        <f>'P&amp;L'!B13</f>
        <v/>
      </c>
      <c r="F18" s="54">
        <f>IF(AND(ISNUMBER(D18),ISNUMBER(E18)),E18-D18,"")</f>
        <v/>
      </c>
      <c r="G18" s="5">
        <f>IF(AND(D18="",E18=""),"Yes",IF(AND(ISNUMBER(D18),ISNUMBER(E18)),IF(ABS(E18-D18)&lt;=1E-6*MAX(1,ABS(D18)),"Yes","No"),IF(D18=E18,"Yes","No")))</f>
        <v/>
      </c>
    </row>
    <row r="19">
      <c r="A19" s="5" t="inlineStr">
        <is>
          <t>P&amp;L</t>
        </is>
      </c>
      <c r="B19" s="5" t="inlineStr">
        <is>
          <t>2022 Gross margin</t>
        </is>
      </c>
      <c r="D19" s="52" t="n">
        <v>0.7607660474611342</v>
      </c>
      <c r="E19" s="53">
        <f>'P&amp;L'!C13</f>
        <v/>
      </c>
      <c r="F19" s="54">
        <f>IF(AND(ISNUMBER(D19),ISNUMBER(E19)),E19-D19,"")</f>
        <v/>
      </c>
      <c r="G19" s="5">
        <f>IF(AND(D19="",E19=""),"Yes",IF(AND(ISNUMBER(D19),ISNUMBER(E19)),IF(ABS(E19-D19)&lt;=1E-6*MAX(1,ABS(D19)),"Yes","No"),IF(D19=E19,"Yes","No")))</f>
        <v/>
      </c>
    </row>
    <row r="20">
      <c r="A20" s="5" t="inlineStr">
        <is>
          <t>P&amp;L</t>
        </is>
      </c>
      <c r="B20" s="5" t="inlineStr">
        <is>
          <t>2023 Gross margin</t>
        </is>
      </c>
      <c r="D20" s="52" t="n">
        <v>0.7805059274137494</v>
      </c>
      <c r="E20" s="53">
        <f>'P&amp;L'!D13</f>
        <v/>
      </c>
      <c r="F20" s="54">
        <f>IF(AND(ISNUMBER(D20),ISNUMBER(E20)),E20-D20,"")</f>
        <v/>
      </c>
      <c r="G20" s="5">
        <f>IF(AND(D20="",E20=""),"Yes",IF(AND(ISNUMBER(D20),ISNUMBER(E20)),IF(ABS(E20-D20)&lt;=1E-6*MAX(1,ABS(D20)),"Yes","No"),IF(D20=E20,"Yes","No")))</f>
        <v/>
      </c>
    </row>
    <row r="21">
      <c r="A21" s="5" t="inlineStr">
        <is>
          <t>P&amp;L</t>
        </is>
      </c>
      <c r="B21" s="5" t="inlineStr">
        <is>
          <t>2024 Gross margin</t>
        </is>
      </c>
      <c r="D21" s="52" t="n">
        <v>0.7824227948758531</v>
      </c>
      <c r="E21" s="53">
        <f>'P&amp;L'!E13</f>
        <v/>
      </c>
      <c r="F21" s="54">
        <f>IF(AND(ISNUMBER(D21),ISNUMBER(E21)),E21-D21,"")</f>
        <v/>
      </c>
      <c r="G21" s="5">
        <f>IF(AND(D21="",E21=""),"Yes",IF(AND(ISNUMBER(D21),ISNUMBER(E21)),IF(ABS(E21-D21)&lt;=1E-6*MAX(1,ABS(D21)),"Yes","No"),IF(D21=E21,"Yes","No")))</f>
        <v/>
      </c>
    </row>
    <row r="22">
      <c r="A22" s="5" t="inlineStr">
        <is>
          <t>P&amp;L</t>
        </is>
      </c>
      <c r="B22" s="5" t="inlineStr">
        <is>
          <t>2024Q1 Gross margin</t>
        </is>
      </c>
      <c r="D22" s="52" t="n">
        <v>0.7765417977313888</v>
      </c>
      <c r="E22" s="53">
        <f>'P&amp;L'!F13</f>
        <v/>
      </c>
      <c r="F22" s="54">
        <f>IF(AND(ISNUMBER(D22),ISNUMBER(E22)),E22-D22,"")</f>
        <v/>
      </c>
      <c r="G22" s="5">
        <f>IF(AND(D22="",E22=""),"Yes",IF(AND(ISNUMBER(D22),ISNUMBER(E22)),IF(ABS(E22-D22)&lt;=1E-6*MAX(1,ABS(D22)),"Yes","No"),IF(D22=E22,"Yes","No")))</f>
        <v/>
      </c>
    </row>
    <row r="23">
      <c r="A23" s="5" t="inlineStr">
        <is>
          <t>P&amp;L</t>
        </is>
      </c>
      <c r="B23" s="5" t="inlineStr">
        <is>
          <t>2024Q2 Gross margin</t>
        </is>
      </c>
      <c r="D23" s="52" t="n">
        <v>0.7827278301525255</v>
      </c>
      <c r="E23" s="53">
        <f>'P&amp;L'!G13</f>
        <v/>
      </c>
      <c r="F23" s="54">
        <f>IF(AND(ISNUMBER(D23),ISNUMBER(E23)),E23-D23,"")</f>
        <v/>
      </c>
      <c r="G23" s="5">
        <f>IF(AND(D23="",E23=""),"Yes",IF(AND(ISNUMBER(D23),ISNUMBER(E23)),IF(ABS(E23-D23)&lt;=1E-6*MAX(1,ABS(D23)),"Yes","No"),IF(D23=E23,"Yes","No")))</f>
        <v/>
      </c>
    </row>
    <row r="24">
      <c r="A24" s="5" t="inlineStr">
        <is>
          <t>P&amp;L</t>
        </is>
      </c>
      <c r="B24" s="5" t="inlineStr">
        <is>
          <t>2024Q3 Gross margin</t>
        </is>
      </c>
      <c r="D24" s="52" t="n">
        <v>0.7923950881756627</v>
      </c>
      <c r="E24" s="53">
        <f>'P&amp;L'!H13</f>
        <v/>
      </c>
      <c r="F24" s="54">
        <f>IF(AND(ISNUMBER(D24),ISNUMBER(E24)),E24-D24,"")</f>
        <v/>
      </c>
      <c r="G24" s="5">
        <f>IF(AND(D24="",E24=""),"Yes",IF(AND(ISNUMBER(D24),ISNUMBER(E24)),IF(ABS(E24-D24)&lt;=1E-6*MAX(1,ABS(D24)),"Yes","No"),IF(D24=E24,"Yes","No")))</f>
        <v/>
      </c>
    </row>
    <row r="25">
      <c r="A25" s="5" t="inlineStr">
        <is>
          <t>P&amp;L</t>
        </is>
      </c>
      <c r="B25" s="5" t="inlineStr">
        <is>
          <t>2025Q1 Gross margin</t>
        </is>
      </c>
      <c r="D25" s="52" t="n">
        <v>0.7665430828658502</v>
      </c>
      <c r="E25" s="53">
        <f>'P&amp;L'!I13</f>
        <v/>
      </c>
      <c r="F25" s="54">
        <f>IF(AND(ISNUMBER(D25),ISNUMBER(E25)),E25-D25,"")</f>
        <v/>
      </c>
      <c r="G25" s="5">
        <f>IF(AND(D25="",E25=""),"Yes",IF(AND(ISNUMBER(D25),ISNUMBER(E25)),IF(ABS(E25-D25)&lt;=1E-6*MAX(1,ABS(D25)),"Yes","No"),IF(D25=E25,"Yes","No")))</f>
        <v/>
      </c>
    </row>
    <row r="26">
      <c r="A26" s="5" t="inlineStr">
        <is>
          <t>P&amp;L</t>
        </is>
      </c>
      <c r="B26" s="5" t="inlineStr">
        <is>
          <t>2025Q2 Gross margin</t>
        </is>
      </c>
      <c r="D26" s="52" t="n">
        <v>0.7788150979455327</v>
      </c>
      <c r="E26" s="53">
        <f>'P&amp;L'!J13</f>
        <v/>
      </c>
      <c r="F26" s="54">
        <f>IF(AND(ISNUMBER(D26),ISNUMBER(E26)),E26-D26,"")</f>
        <v/>
      </c>
      <c r="G26" s="5">
        <f>IF(AND(D26="",E26=""),"Yes",IF(AND(ISNUMBER(D26),ISNUMBER(E26)),IF(ABS(E26-D26)&lt;=1E-6*MAX(1,ABS(D26)),"Yes","No"),IF(D26=E26,"Yes","No")))</f>
        <v/>
      </c>
    </row>
    <row r="27">
      <c r="A27" s="5" t="inlineStr">
        <is>
          <t>P&amp;L</t>
        </is>
      </c>
      <c r="B27" s="5" t="inlineStr">
        <is>
          <t>2025Q3 Gross margin</t>
        </is>
      </c>
      <c r="D27" s="52" t="n">
        <v>0.7786035780475812</v>
      </c>
      <c r="E27" s="53">
        <f>'P&amp;L'!K13</f>
        <v/>
      </c>
      <c r="F27" s="54">
        <f>IF(AND(ISNUMBER(D27),ISNUMBER(E27)),E27-D27,"")</f>
        <v/>
      </c>
      <c r="G27" s="5">
        <f>IF(AND(D27="",E27=""),"Yes",IF(AND(ISNUMBER(D27),ISNUMBER(E27)),IF(ABS(E27-D27)&lt;=1E-6*MAX(1,ABS(D27)),"Yes","No"),IF(D27=E27,"Yes","No")))</f>
        <v/>
      </c>
    </row>
    <row r="28">
      <c r="A28" s="5" t="inlineStr">
        <is>
          <t>P&amp;L</t>
        </is>
      </c>
      <c r="B28" s="5" t="inlineStr">
        <is>
          <t>2021 Sales and marketing, % revenue</t>
        </is>
      </c>
      <c r="D28" s="52" t="n">
        <v>0.3898380812810523</v>
      </c>
      <c r="E28" s="53">
        <f>'P&amp;L'!B14</f>
        <v/>
      </c>
      <c r="F28" s="54">
        <f>IF(AND(ISNUMBER(D28),ISNUMBER(E28)),E28-D28,"")</f>
        <v/>
      </c>
      <c r="G28" s="5">
        <f>IF(AND(D28="",E28=""),"Yes",IF(AND(ISNUMBER(D28),ISNUMBER(E28)),IF(ABS(E28-D28)&lt;=1E-6*MAX(1,ABS(D28)),"Yes","No"),IF(D28=E28,"Yes","No")))</f>
        <v/>
      </c>
    </row>
    <row r="29">
      <c r="A29" s="5" t="inlineStr">
        <is>
          <t>P&amp;L</t>
        </is>
      </c>
      <c r="B29" s="5" t="inlineStr">
        <is>
          <t>2022 Sales and marketing, % revenue</t>
        </is>
      </c>
      <c r="D29" s="52" t="n">
        <v>0.393510350369953</v>
      </c>
      <c r="E29" s="53">
        <f>'P&amp;L'!C14</f>
        <v/>
      </c>
      <c r="F29" s="54">
        <f>IF(AND(ISNUMBER(D29),ISNUMBER(E29)),E29-D29,"")</f>
        <v/>
      </c>
      <c r="G29" s="5">
        <f>IF(AND(D29="",E29=""),"Yes",IF(AND(ISNUMBER(D29),ISNUMBER(E29)),IF(ABS(E29-D29)&lt;=1E-6*MAX(1,ABS(D29)),"Yes","No"),IF(D29=E29,"Yes","No")))</f>
        <v/>
      </c>
    </row>
    <row r="30">
      <c r="A30" s="5" t="inlineStr">
        <is>
          <t>P&amp;L</t>
        </is>
      </c>
      <c r="B30" s="5" t="inlineStr">
        <is>
          <t>2023 Sales and marketing, % revenue</t>
        </is>
      </c>
      <c r="D30" s="52" t="n">
        <v>0.3630918425556189</v>
      </c>
      <c r="E30" s="53">
        <f>'P&amp;L'!D14</f>
        <v/>
      </c>
      <c r="F30" s="54">
        <f>IF(AND(ISNUMBER(D30),ISNUMBER(E30)),E30-D30,"")</f>
        <v/>
      </c>
      <c r="G30" s="5">
        <f>IF(AND(D30="",E30=""),"Yes",IF(AND(ISNUMBER(D30),ISNUMBER(E30)),IF(ABS(E30-D30)&lt;=1E-6*MAX(1,ABS(D30)),"Yes","No"),IF(D30=E30,"Yes","No")))</f>
        <v/>
      </c>
    </row>
    <row r="31">
      <c r="A31" s="5" t="inlineStr">
        <is>
          <t>P&amp;L</t>
        </is>
      </c>
      <c r="B31" s="5" t="inlineStr">
        <is>
          <t>2024 Sales and marketing, % revenue</t>
        </is>
      </c>
      <c r="D31" s="52" t="n">
        <v>0.2874514994988082</v>
      </c>
      <c r="E31" s="53">
        <f>'P&amp;L'!E14</f>
        <v/>
      </c>
      <c r="F31" s="54">
        <f>IF(AND(ISNUMBER(D31),ISNUMBER(E31)),E31-D31,"")</f>
        <v/>
      </c>
      <c r="G31" s="5">
        <f>IF(AND(D31="",E31=""),"Yes",IF(AND(ISNUMBER(D31),ISNUMBER(E31)),IF(ABS(E31-D31)&lt;=1E-6*MAX(1,ABS(D31)),"Yes","No"),IF(D31=E31,"Yes","No")))</f>
        <v/>
      </c>
    </row>
    <row r="32">
      <c r="A32" s="5" t="inlineStr">
        <is>
          <t>P&amp;L</t>
        </is>
      </c>
      <c r="B32" s="5" t="inlineStr">
        <is>
          <t>2024Q1 Sales and marketing, % revenue</t>
        </is>
      </c>
      <c r="D32" s="52" t="n">
        <v>0.3079306071871128</v>
      </c>
      <c r="E32" s="53">
        <f>'P&amp;L'!F14</f>
        <v/>
      </c>
      <c r="F32" s="54">
        <f>IF(AND(ISNUMBER(D32),ISNUMBER(E32)),E32-D32,"")</f>
        <v/>
      </c>
      <c r="G32" s="5">
        <f>IF(AND(D32="",E32=""),"Yes",IF(AND(ISNUMBER(D32),ISNUMBER(E32)),IF(ABS(E32-D32)&lt;=1E-6*MAX(1,ABS(D32)),"Yes","No"),IF(D32=E32,"Yes","No")))</f>
        <v/>
      </c>
    </row>
    <row r="33">
      <c r="A33" s="5" t="inlineStr">
        <is>
          <t>P&amp;L</t>
        </is>
      </c>
      <c r="B33" s="5" t="inlineStr">
        <is>
          <t>2024Q2 Sales and marketing, % revenue</t>
        </is>
      </c>
      <c r="D33" s="52" t="n">
        <v>0.2651567410132597</v>
      </c>
      <c r="E33" s="53">
        <f>'P&amp;L'!G14</f>
        <v/>
      </c>
      <c r="F33" s="54">
        <f>IF(AND(ISNUMBER(D33),ISNUMBER(E33)),E33-D33,"")</f>
        <v/>
      </c>
      <c r="G33" s="5">
        <f>IF(AND(D33="",E33=""),"Yes",IF(AND(ISNUMBER(D33),ISNUMBER(E33)),IF(ABS(E33-D33)&lt;=1E-6*MAX(1,ABS(D33)),"Yes","No"),IF(D33=E33,"Yes","No")))</f>
        <v/>
      </c>
    </row>
    <row r="34">
      <c r="A34" s="5" t="inlineStr">
        <is>
          <t>P&amp;L</t>
        </is>
      </c>
      <c r="B34" s="5" t="inlineStr">
        <is>
          <t>2024Q3 Sales and marketing, % revenue</t>
        </is>
      </c>
      <c r="D34" s="52" t="n">
        <v>0.2754198385677671</v>
      </c>
      <c r="E34" s="53">
        <f>'P&amp;L'!H14</f>
        <v/>
      </c>
      <c r="F34" s="54">
        <f>IF(AND(ISNUMBER(D34),ISNUMBER(E34)),E34-D34,"")</f>
        <v/>
      </c>
      <c r="G34" s="5">
        <f>IF(AND(D34="",E34=""),"Yes",IF(AND(ISNUMBER(D34),ISNUMBER(E34)),IF(ABS(E34-D34)&lt;=1E-6*MAX(1,ABS(D34)),"Yes","No"),IF(D34=E34,"Yes","No")))</f>
        <v/>
      </c>
    </row>
    <row r="35">
      <c r="A35" s="5" t="inlineStr">
        <is>
          <t>P&amp;L</t>
        </is>
      </c>
      <c r="B35" s="5" t="inlineStr">
        <is>
          <t>2025Q1 Sales and marketing, % revenue</t>
        </is>
      </c>
      <c r="D35" s="52" t="n">
        <v>0.3237572063590659</v>
      </c>
      <c r="E35" s="53">
        <f>'P&amp;L'!I14</f>
        <v/>
      </c>
      <c r="F35" s="54">
        <f>IF(AND(ISNUMBER(D35),ISNUMBER(E35)),E35-D35,"")</f>
        <v/>
      </c>
      <c r="G35" s="5">
        <f>IF(AND(D35="",E35=""),"Yes",IF(AND(ISNUMBER(D35),ISNUMBER(E35)),IF(ABS(E35-D35)&lt;=1E-6*MAX(1,ABS(D35)),"Yes","No"),IF(D35=E35,"Yes","No")))</f>
        <v/>
      </c>
    </row>
    <row r="36">
      <c r="A36" s="5" t="inlineStr">
        <is>
          <t>P&amp;L</t>
        </is>
      </c>
      <c r="B36" s="5" t="inlineStr">
        <is>
          <t>2025Q2 Sales and marketing, % revenue</t>
        </is>
      </c>
      <c r="D36" s="52" t="n">
        <v>0.2891543239369326</v>
      </c>
      <c r="E36" s="53">
        <f>'P&amp;L'!J14</f>
        <v/>
      </c>
      <c r="F36" s="54">
        <f>IF(AND(ISNUMBER(D36),ISNUMBER(E36)),E36-D36,"")</f>
        <v/>
      </c>
      <c r="G36" s="5">
        <f>IF(AND(D36="",E36=""),"Yes",IF(AND(ISNUMBER(D36),ISNUMBER(E36)),IF(ABS(E36-D36)&lt;=1E-6*MAX(1,ABS(D36)),"Yes","No"),IF(D36=E36,"Yes","No")))</f>
        <v/>
      </c>
    </row>
    <row r="37">
      <c r="A37" s="5" t="inlineStr">
        <is>
          <t>P&amp;L</t>
        </is>
      </c>
      <c r="B37" s="5" t="inlineStr">
        <is>
          <t>2025Q3 Sales and marketing, % revenue</t>
        </is>
      </c>
      <c r="D37" s="52" t="n">
        <v>0.2878323688490488</v>
      </c>
      <c r="E37" s="53">
        <f>'P&amp;L'!K14</f>
        <v/>
      </c>
      <c r="F37" s="54">
        <f>IF(AND(ISNUMBER(D37),ISNUMBER(E37)),E37-D37,"")</f>
        <v/>
      </c>
      <c r="G37" s="5">
        <f>IF(AND(D37="",E37=""),"Yes",IF(AND(ISNUMBER(D37),ISNUMBER(E37)),IF(ABS(E37-D37)&lt;=1E-6*MAX(1,ABS(D37)),"Yes","No"),IF(D37=E37,"Yes","No")))</f>
        <v/>
      </c>
    </row>
    <row r="38">
      <c r="A38" s="5" t="inlineStr">
        <is>
          <t>P&amp;L</t>
        </is>
      </c>
      <c r="B38" s="5" t="inlineStr">
        <is>
          <t>2021 Research and development, % revenue</t>
        </is>
      </c>
      <c r="D38" s="52" t="n">
        <v>0.2695734761717533</v>
      </c>
      <c r="E38" s="53">
        <f>'P&amp;L'!B15</f>
        <v/>
      </c>
      <c r="F38" s="54">
        <f>IF(AND(ISNUMBER(D38),ISNUMBER(E38)),E38-D38,"")</f>
        <v/>
      </c>
      <c r="G38" s="5">
        <f>IF(AND(D38="",E38=""),"Yes",IF(AND(ISNUMBER(D38),ISNUMBER(E38)),IF(ABS(E38-D38)&lt;=1E-6*MAX(1,ABS(D38)),"Yes","No"),IF(D38=E38,"Yes","No")))</f>
        <v/>
      </c>
    </row>
    <row r="39">
      <c r="A39" s="5" t="inlineStr">
        <is>
          <t>P&amp;L</t>
        </is>
      </c>
      <c r="B39" s="5" t="inlineStr">
        <is>
          <t>2022 Research and development, % revenue</t>
        </is>
      </c>
      <c r="D39" s="52" t="n">
        <v>0.2948100353787746</v>
      </c>
      <c r="E39" s="53">
        <f>'P&amp;L'!C15</f>
        <v/>
      </c>
      <c r="F39" s="54">
        <f>IF(AND(ISNUMBER(D39),ISNUMBER(E39)),E39-D39,"")</f>
        <v/>
      </c>
      <c r="G39" s="5">
        <f>IF(AND(D39="",E39=""),"Yes",IF(AND(ISNUMBER(D39),ISNUMBER(E39)),IF(ABS(E39-D39)&lt;=1E-6*MAX(1,ABS(D39)),"Yes","No"),IF(D39=E39,"Yes","No")))</f>
        <v/>
      </c>
    </row>
    <row r="40">
      <c r="A40" s="5" t="inlineStr">
        <is>
          <t>P&amp;L</t>
        </is>
      </c>
      <c r="B40" s="5" t="inlineStr">
        <is>
          <t>2023 Research and development, % revenue</t>
        </is>
      </c>
      <c r="D40" s="52" t="n">
        <v>0.2566404770693217</v>
      </c>
      <c r="E40" s="53">
        <f>'P&amp;L'!D15</f>
        <v/>
      </c>
      <c r="F40" s="54">
        <f>IF(AND(ISNUMBER(D40),ISNUMBER(E40)),E40-D40,"")</f>
        <v/>
      </c>
      <c r="G40" s="5">
        <f>IF(AND(D40="",E40=""),"Yes",IF(AND(ISNUMBER(D40),ISNUMBER(E40)),IF(ABS(E40-D40)&lt;=1E-6*MAX(1,ABS(D40)),"Yes","No"),IF(D40=E40,"Yes","No")))</f>
        <v/>
      </c>
    </row>
    <row r="41">
      <c r="A41" s="5" t="inlineStr">
        <is>
          <t>P&amp;L</t>
        </is>
      </c>
      <c r="B41" s="5" t="inlineStr">
        <is>
          <t>2024 Research and development, % revenue</t>
        </is>
      </c>
      <c r="D41" s="52" t="n">
        <v>0.2622815978666974</v>
      </c>
      <c r="E41" s="53">
        <f>'P&amp;L'!E15</f>
        <v/>
      </c>
      <c r="F41" s="54">
        <f>IF(AND(ISNUMBER(D41),ISNUMBER(E41)),E41-D41,"")</f>
        <v/>
      </c>
      <c r="G41" s="5">
        <f>IF(AND(D41="",E41=""),"Yes",IF(AND(ISNUMBER(D41),ISNUMBER(E41)),IF(ABS(E41-D41)&lt;=1E-6*MAX(1,ABS(D41)),"Yes","No"),IF(D41=E41,"Yes","No")))</f>
        <v/>
      </c>
    </row>
    <row r="42">
      <c r="A42" s="5" t="inlineStr">
        <is>
          <t>P&amp;L</t>
        </is>
      </c>
      <c r="B42" s="5" t="inlineStr">
        <is>
          <t>2024Q1 Research and development, % revenue</t>
        </is>
      </c>
      <c r="D42" s="52" t="n">
        <v>0.268182251453627</v>
      </c>
      <c r="E42" s="53">
        <f>'P&amp;L'!F15</f>
        <v/>
      </c>
      <c r="F42" s="54">
        <f>IF(AND(ISNUMBER(D42),ISNUMBER(E42)),E42-D42,"")</f>
        <v/>
      </c>
      <c r="G42" s="5">
        <f>IF(AND(D42="",E42=""),"Yes",IF(AND(ISNUMBER(D42),ISNUMBER(E42)),IF(ABS(E42-D42)&lt;=1E-6*MAX(1,ABS(D42)),"Yes","No"),IF(D42=E42,"Yes","No")))</f>
        <v/>
      </c>
    </row>
    <row r="43">
      <c r="A43" s="5" t="inlineStr">
        <is>
          <t>P&amp;L</t>
        </is>
      </c>
      <c r="B43" s="5" t="inlineStr">
        <is>
          <t>2024Q2 Research and development, % revenue</t>
        </is>
      </c>
      <c r="D43" s="52" t="n">
        <v>0.2584118954548938</v>
      </c>
      <c r="E43" s="53">
        <f>'P&amp;L'!G15</f>
        <v/>
      </c>
      <c r="F43" s="54">
        <f>IF(AND(ISNUMBER(D43),ISNUMBER(E43)),E43-D43,"")</f>
        <v/>
      </c>
      <c r="G43" s="5">
        <f>IF(AND(D43="",E43=""),"Yes",IF(AND(ISNUMBER(D43),ISNUMBER(E43)),IF(ABS(E43-D43)&lt;=1E-6*MAX(1,ABS(D43)),"Yes","No"),IF(D43=E43,"Yes","No")))</f>
        <v/>
      </c>
    </row>
    <row r="44">
      <c r="A44" s="5" t="inlineStr">
        <is>
          <t>P&amp;L</t>
        </is>
      </c>
      <c r="B44" s="5" t="inlineStr">
        <is>
          <t>2024Q3 Research and development, % revenue</t>
        </is>
      </c>
      <c r="D44" s="52" t="n">
        <v>0.254274893844918</v>
      </c>
      <c r="E44" s="53">
        <f>'P&amp;L'!H15</f>
        <v/>
      </c>
      <c r="F44" s="54">
        <f>IF(AND(ISNUMBER(D44),ISNUMBER(E44)),E44-D44,"")</f>
        <v/>
      </c>
      <c r="G44" s="5">
        <f>IF(AND(D44="",E44=""),"Yes",IF(AND(ISNUMBER(D44),ISNUMBER(E44)),IF(ABS(E44-D44)&lt;=1E-6*MAX(1,ABS(D44)),"Yes","No"),IF(D44=E44,"Yes","No")))</f>
        <v/>
      </c>
    </row>
    <row r="45">
      <c r="A45" s="5" t="inlineStr">
        <is>
          <t>P&amp;L</t>
        </is>
      </c>
      <c r="B45" s="5" t="inlineStr">
        <is>
          <t>2025Q1 Research and development, % revenue</t>
        </is>
      </c>
      <c r="D45" s="52" t="n">
        <v>0.3026767863035503</v>
      </c>
      <c r="E45" s="53">
        <f>'P&amp;L'!I15</f>
        <v/>
      </c>
      <c r="F45" s="54">
        <f>IF(AND(ISNUMBER(D45),ISNUMBER(E45)),E45-D45,"")</f>
        <v/>
      </c>
      <c r="G45" s="5">
        <f>IF(AND(D45="",E45=""),"Yes",IF(AND(ISNUMBER(D45),ISNUMBER(E45)),IF(ABS(E45-D45)&lt;=1E-6*MAX(1,ABS(D45)),"Yes","No"),IF(D45=E45,"Yes","No")))</f>
        <v/>
      </c>
    </row>
    <row r="46">
      <c r="A46" s="5" t="inlineStr">
        <is>
          <t>P&amp;L</t>
        </is>
      </c>
      <c r="B46" s="5" t="inlineStr">
        <is>
          <t>2025Q2 Research and development, % revenue</t>
        </is>
      </c>
      <c r="D46" s="52" t="n">
        <v>0.2846536072623029</v>
      </c>
      <c r="E46" s="53">
        <f>'P&amp;L'!J15</f>
        <v/>
      </c>
      <c r="F46" s="54">
        <f>IF(AND(ISNUMBER(D46),ISNUMBER(E46)),E46-D46,"")</f>
        <v/>
      </c>
      <c r="G46" s="5">
        <f>IF(AND(D46="",E46=""),"Yes",IF(AND(ISNUMBER(D46),ISNUMBER(E46)),IF(ABS(E46-D46)&lt;=1E-6*MAX(1,ABS(D46)),"Yes","No"),IF(D46=E46,"Yes","No")))</f>
        <v/>
      </c>
    </row>
    <row r="47">
      <c r="A47" s="5" t="inlineStr">
        <is>
          <t>P&amp;L</t>
        </is>
      </c>
      <c r="B47" s="5" t="inlineStr">
        <is>
          <t>2025Q3 Research and development, % revenue</t>
        </is>
      </c>
      <c r="D47" s="52" t="n">
        <v>0.2950943681682363</v>
      </c>
      <c r="E47" s="53">
        <f>'P&amp;L'!K15</f>
        <v/>
      </c>
      <c r="F47" s="54">
        <f>IF(AND(ISNUMBER(D47),ISNUMBER(E47)),E47-D47,"")</f>
        <v/>
      </c>
      <c r="G47" s="5">
        <f>IF(AND(D47="",E47=""),"Yes",IF(AND(ISNUMBER(D47),ISNUMBER(E47)),IF(ABS(E47-D47)&lt;=1E-6*MAX(1,ABS(D47)),"Yes","No"),IF(D47=E47,"Yes","No")))</f>
        <v/>
      </c>
    </row>
    <row r="48">
      <c r="A48" s="5" t="inlineStr">
        <is>
          <t>P&amp;L</t>
        </is>
      </c>
      <c r="B48" s="5" t="inlineStr">
        <is>
          <t>2021 General and administrative, % revenue</t>
        </is>
      </c>
      <c r="D48" s="52" t="n">
        <v>0.2172983930677751</v>
      </c>
      <c r="E48" s="53">
        <f>'P&amp;L'!B16</f>
        <v/>
      </c>
      <c r="F48" s="54">
        <f>IF(AND(ISNUMBER(D48),ISNUMBER(E48)),E48-D48,"")</f>
        <v/>
      </c>
      <c r="G48" s="5">
        <f>IF(AND(D48="",E48=""),"Yes",IF(AND(ISNUMBER(D48),ISNUMBER(E48)),IF(ABS(E48-D48)&lt;=1E-6*MAX(1,ABS(D48)),"Yes","No"),IF(D48=E48,"Yes","No")))</f>
        <v/>
      </c>
    </row>
    <row r="49">
      <c r="A49" s="5" t="inlineStr">
        <is>
          <t>P&amp;L</t>
        </is>
      </c>
      <c r="B49" s="5" t="inlineStr">
        <is>
          <t>2022 General and administrative, % revenue</t>
        </is>
      </c>
      <c r="D49" s="52" t="n">
        <v>0.2471225879157929</v>
      </c>
      <c r="E49" s="53">
        <f>'P&amp;L'!C16</f>
        <v/>
      </c>
      <c r="F49" s="54">
        <f>IF(AND(ISNUMBER(D49),ISNUMBER(E49)),E49-D49,"")</f>
        <v/>
      </c>
      <c r="G49" s="5">
        <f>IF(AND(D49="",E49=""),"Yes",IF(AND(ISNUMBER(D49),ISNUMBER(E49)),IF(ABS(E49-D49)&lt;=1E-6*MAX(1,ABS(D49)),"Yes","No"),IF(D49=E49,"Yes","No")))</f>
        <v/>
      </c>
    </row>
    <row r="50">
      <c r="A50" s="5" t="inlineStr">
        <is>
          <t>P&amp;L</t>
        </is>
      </c>
      <c r="B50" s="5" t="inlineStr">
        <is>
          <t>2023 General and administrative, % revenue</t>
        </is>
      </c>
      <c r="D50" s="52" t="n">
        <v>0.1179107124880757</v>
      </c>
      <c r="E50" s="53">
        <f>'P&amp;L'!D16</f>
        <v/>
      </c>
      <c r="F50" s="54">
        <f>IF(AND(ISNUMBER(D50),ISNUMBER(E50)),E50-D50,"")</f>
        <v/>
      </c>
      <c r="G50" s="5">
        <f>IF(AND(D50="",E50=""),"Yes",IF(AND(ISNUMBER(D50),ISNUMBER(E50)),IF(ABS(E50-D50)&lt;=1E-6*MAX(1,ABS(D50)),"Yes","No"),IF(D50=E50,"Yes","No")))</f>
        <v/>
      </c>
    </row>
    <row r="51">
      <c r="A51" s="5" t="inlineStr">
        <is>
          <t>P&amp;L</t>
        </is>
      </c>
      <c r="B51" s="5" t="inlineStr">
        <is>
          <t>2024 General and administrative, % revenue</t>
        </is>
      </c>
      <c r="D51" s="52" t="n">
        <v>0.1836999947242965</v>
      </c>
      <c r="E51" s="53">
        <f>'P&amp;L'!E16</f>
        <v/>
      </c>
      <c r="F51" s="54">
        <f>IF(AND(ISNUMBER(D51),ISNUMBER(E51)),E51-D51,"")</f>
        <v/>
      </c>
      <c r="G51" s="5">
        <f>IF(AND(D51="",E51=""),"Yes",IF(AND(ISNUMBER(D51),ISNUMBER(E51)),IF(ABS(E51-D51)&lt;=1E-6*MAX(1,ABS(D51)),"Yes","No"),IF(D51=E51,"Yes","No")))</f>
        <v/>
      </c>
    </row>
    <row r="52">
      <c r="A52" s="5" t="inlineStr">
        <is>
          <t>P&amp;L</t>
        </is>
      </c>
      <c r="B52" s="5" t="inlineStr">
        <is>
          <t>2024Q1 General and administrative, % revenue</t>
        </is>
      </c>
      <c r="D52" s="52" t="n">
        <v>0.171899723572586</v>
      </c>
      <c r="E52" s="53">
        <f>'P&amp;L'!F16</f>
        <v/>
      </c>
      <c r="F52" s="54">
        <f>IF(AND(ISNUMBER(D52),ISNUMBER(E52)),E52-D52,"")</f>
        <v/>
      </c>
      <c r="G52" s="5">
        <f>IF(AND(D52="",E52=""),"Yes",IF(AND(ISNUMBER(D52),ISNUMBER(E52)),IF(ABS(E52-D52)&lt;=1E-6*MAX(1,ABS(D52)),"Yes","No"),IF(D52=E52,"Yes","No")))</f>
        <v/>
      </c>
    </row>
    <row r="53">
      <c r="A53" s="5" t="inlineStr">
        <is>
          <t>P&amp;L</t>
        </is>
      </c>
      <c r="B53" s="5" t="inlineStr">
        <is>
          <t>2024Q2 General and administrative, % revenue</t>
        </is>
      </c>
      <c r="D53" s="52" t="n">
        <v>0.1828677090518893</v>
      </c>
      <c r="E53" s="53">
        <f>'P&amp;L'!G16</f>
        <v/>
      </c>
      <c r="F53" s="54">
        <f>IF(AND(ISNUMBER(D53),ISNUMBER(E53)),E53-D53,"")</f>
        <v/>
      </c>
      <c r="G53" s="5">
        <f>IF(AND(D53="",E53=""),"Yes",IF(AND(ISNUMBER(D53),ISNUMBER(E53)),IF(ABS(E53-D53)&lt;=1E-6*MAX(1,ABS(D53)),"Yes","No"),IF(D53=E53,"Yes","No")))</f>
        <v/>
      </c>
    </row>
    <row r="54">
      <c r="A54" s="5" t="inlineStr">
        <is>
          <t>P&amp;L</t>
        </is>
      </c>
      <c r="B54" s="5" t="inlineStr">
        <is>
          <t>2024Q3 General and administrative, % revenue</t>
        </is>
      </c>
      <c r="D54" s="52" t="n">
        <v>0.1879710034046135</v>
      </c>
      <c r="E54" s="53">
        <f>'P&amp;L'!H16</f>
        <v/>
      </c>
      <c r="F54" s="54">
        <f>IF(AND(ISNUMBER(D54),ISNUMBER(E54)),E54-D54,"")</f>
        <v/>
      </c>
      <c r="G54" s="5">
        <f>IF(AND(D54="",E54=""),"Yes",IF(AND(ISNUMBER(D54),ISNUMBER(E54)),IF(ABS(E54-D54)&lt;=1E-6*MAX(1,ABS(D54)),"Yes","No"),IF(D54=E54,"Yes","No")))</f>
        <v/>
      </c>
    </row>
    <row r="55">
      <c r="A55" s="5" t="inlineStr">
        <is>
          <t>P&amp;L</t>
        </is>
      </c>
      <c r="B55" s="5" t="inlineStr">
        <is>
          <t>2025Q1 General and administrative, % revenue</t>
        </is>
      </c>
      <c r="D55" s="52" t="n">
        <v>0.1954403400819147</v>
      </c>
      <c r="E55" s="53">
        <f>'P&amp;L'!I16</f>
        <v/>
      </c>
      <c r="F55" s="54">
        <f>IF(AND(ISNUMBER(D55),ISNUMBER(E55)),E55-D55,"")</f>
        <v/>
      </c>
      <c r="G55" s="5">
        <f>IF(AND(D55="",E55=""),"Yes",IF(AND(ISNUMBER(D55),ISNUMBER(E55)),IF(ABS(E55-D55)&lt;=1E-6*MAX(1,ABS(D55)),"Yes","No"),IF(D55=E55,"Yes","No")))</f>
        <v/>
      </c>
    </row>
    <row r="56">
      <c r="A56" s="5" t="inlineStr">
        <is>
          <t>P&amp;L</t>
        </is>
      </c>
      <c r="B56" s="5" t="inlineStr">
        <is>
          <t>2025Q2 General and administrative, % revenue</t>
        </is>
      </c>
      <c r="D56" s="52" t="n">
        <v>0.1643000477783086</v>
      </c>
      <c r="E56" s="53">
        <f>'P&amp;L'!J16</f>
        <v/>
      </c>
      <c r="F56" s="54">
        <f>IF(AND(ISNUMBER(D56),ISNUMBER(E56)),E56-D56,"")</f>
        <v/>
      </c>
      <c r="G56" s="5">
        <f>IF(AND(D56="",E56=""),"Yes",IF(AND(ISNUMBER(D56),ISNUMBER(E56)),IF(ABS(E56-D56)&lt;=1E-6*MAX(1,ABS(D56)),"Yes","No"),IF(D56=E56,"Yes","No")))</f>
        <v/>
      </c>
    </row>
    <row r="57">
      <c r="A57" s="5" t="inlineStr">
        <is>
          <t>P&amp;L</t>
        </is>
      </c>
      <c r="B57" s="5" t="inlineStr">
        <is>
          <t>2025Q3 General and administrative, % revenue</t>
        </is>
      </c>
      <c r="D57" s="52" t="n">
        <v>0.2348046446537312</v>
      </c>
      <c r="E57" s="53">
        <f>'P&amp;L'!K16</f>
        <v/>
      </c>
      <c r="F57" s="54">
        <f>IF(AND(ISNUMBER(D57),ISNUMBER(E57)),E57-D57,"")</f>
        <v/>
      </c>
      <c r="G57" s="5">
        <f>IF(AND(D57="",E57=""),"Yes",IF(AND(ISNUMBER(D57),ISNUMBER(E57)),IF(ABS(E57-D57)&lt;=1E-6*MAX(1,ABS(D57)),"Yes","No"),IF(D57=E57,"Yes","No")))</f>
        <v/>
      </c>
    </row>
    <row r="58">
      <c r="A58" s="5" t="inlineStr">
        <is>
          <t>P&amp;L</t>
        </is>
      </c>
      <c r="B58" s="5" t="inlineStr">
        <is>
          <t>2021 Operating margin</t>
        </is>
      </c>
      <c r="D58" s="52" t="n">
        <v>-0.1557810242086612</v>
      </c>
      <c r="E58" s="53">
        <f>'P&amp;L'!B17</f>
        <v/>
      </c>
      <c r="F58" s="54">
        <f>IF(AND(ISNUMBER(D58),ISNUMBER(E58)),E58-D58,"")</f>
        <v/>
      </c>
      <c r="G58" s="5">
        <f>IF(AND(D58="",E58=""),"Yes",IF(AND(ISNUMBER(D58),ISNUMBER(E58)),IF(ABS(E58-D58)&lt;=1E-6*MAX(1,ABS(D58)),"Yes","No"),IF(D58=E58,"Yes","No")))</f>
        <v/>
      </c>
    </row>
    <row r="59">
      <c r="A59" s="5" t="inlineStr">
        <is>
          <t>P&amp;L</t>
        </is>
      </c>
      <c r="B59" s="5" t="inlineStr">
        <is>
          <t>2022 Operating margin</t>
        </is>
      </c>
      <c r="D59" s="52" t="n">
        <v>-0.1915303398394561</v>
      </c>
      <c r="E59" s="53">
        <f>'P&amp;L'!C17</f>
        <v/>
      </c>
      <c r="F59" s="54">
        <f>IF(AND(ISNUMBER(D59),ISNUMBER(E59)),E59-D59,"")</f>
        <v/>
      </c>
      <c r="G59" s="5">
        <f>IF(AND(D59="",E59=""),"Yes",IF(AND(ISNUMBER(D59),ISNUMBER(E59)),IF(ABS(E59-D59)&lt;=1E-6*MAX(1,ABS(D59)),"Yes","No"),IF(D59=E59,"Yes","No")))</f>
        <v/>
      </c>
    </row>
    <row r="60">
      <c r="A60" s="5" t="inlineStr">
        <is>
          <t>P&amp;L</t>
        </is>
      </c>
      <c r="B60" s="5" t="inlineStr">
        <is>
          <t>2023 Operating margin</t>
        </is>
      </c>
      <c r="D60" s="52" t="n">
        <v>0.03127172146668137</v>
      </c>
      <c r="E60" s="53">
        <f>'P&amp;L'!D17</f>
        <v/>
      </c>
      <c r="F60" s="54">
        <f>IF(AND(ISNUMBER(D60),ISNUMBER(E60)),E60-D60,"")</f>
        <v/>
      </c>
      <c r="G60" s="5">
        <f>IF(AND(D60="",E60=""),"Yes",IF(AND(ISNUMBER(D60),ISNUMBER(E60)),IF(ABS(E60-D60)&lt;=1E-6*MAX(1,ABS(D60)),"Yes","No"),IF(D60=E60,"Yes","No")))</f>
        <v/>
      </c>
    </row>
    <row r="61">
      <c r="A61" s="5" t="inlineStr">
        <is>
          <t>P&amp;L</t>
        </is>
      </c>
      <c r="B61" s="5" t="inlineStr">
        <is>
          <t>2024 Operating margin</t>
        </is>
      </c>
      <c r="D61" s="52" t="n">
        <v>0.0448027126708009</v>
      </c>
      <c r="E61" s="53">
        <f>'P&amp;L'!E17</f>
        <v/>
      </c>
      <c r="F61" s="54">
        <f>IF(AND(ISNUMBER(D61),ISNUMBER(E61)),E61-D61,"")</f>
        <v/>
      </c>
      <c r="G61" s="5">
        <f>IF(AND(D61="",E61=""),"Yes",IF(AND(ISNUMBER(D61),ISNUMBER(E61)),IF(ABS(E61-D61)&lt;=1E-6*MAX(1,ABS(D61)),"Yes","No"),IF(D61=E61,"Yes","No")))</f>
        <v/>
      </c>
    </row>
    <row r="62">
      <c r="A62" s="5" t="inlineStr">
        <is>
          <t>P&amp;L</t>
        </is>
      </c>
      <c r="B62" s="5" t="inlineStr">
        <is>
          <t>2024Q1 Operating margin</t>
        </is>
      </c>
      <c r="D62" s="52" t="n">
        <v>0.02467829568201315</v>
      </c>
      <c r="E62" s="53">
        <f>'P&amp;L'!F17</f>
        <v/>
      </c>
      <c r="F62" s="54">
        <f>IF(AND(ISNUMBER(D62),ISNUMBER(E62)),E62-D62,"")</f>
        <v/>
      </c>
      <c r="G62" s="5">
        <f>IF(AND(D62="",E62=""),"Yes",IF(AND(ISNUMBER(D62),ISNUMBER(E62)),IF(ABS(E62-D62)&lt;=1E-6*MAX(1,ABS(D62)),"Yes","No"),IF(D62=E62,"Yes","No")))</f>
        <v/>
      </c>
    </row>
    <row r="63">
      <c r="A63" s="5" t="inlineStr">
        <is>
          <t>P&amp;L</t>
        </is>
      </c>
      <c r="B63" s="5" t="inlineStr">
        <is>
          <t>2024Q2 Operating margin</t>
        </is>
      </c>
      <c r="D63" s="52" t="n">
        <v>0.07148194987353415</v>
      </c>
      <c r="E63" s="53">
        <f>'P&amp;L'!G17</f>
        <v/>
      </c>
      <c r="F63" s="54">
        <f>IF(AND(ISNUMBER(D63),ISNUMBER(E63)),E63-D63,"")</f>
        <v/>
      </c>
      <c r="G63" s="5">
        <f>IF(AND(D63="",E63=""),"Yes",IF(AND(ISNUMBER(D63),ISNUMBER(E63)),IF(ABS(E63-D63)&lt;=1E-6*MAX(1,ABS(D63)),"Yes","No"),IF(D63=E63,"Yes","No")))</f>
        <v/>
      </c>
    </row>
    <row r="64">
      <c r="A64" s="5" t="inlineStr">
        <is>
          <t>P&amp;L</t>
        </is>
      </c>
      <c r="B64" s="5" t="inlineStr">
        <is>
          <t>2024Q3 Operating margin</t>
        </is>
      </c>
      <c r="D64" s="52" t="n">
        <v>0.07043533147163461</v>
      </c>
      <c r="E64" s="53">
        <f>'P&amp;L'!H17</f>
        <v/>
      </c>
      <c r="F64" s="54">
        <f>IF(AND(ISNUMBER(D64),ISNUMBER(E64)),E64-D64,"")</f>
        <v/>
      </c>
      <c r="G64" s="5">
        <f>IF(AND(D64="",E64=""),"Yes",IF(AND(ISNUMBER(D64),ISNUMBER(E64)),IF(ABS(E64-D64)&lt;=1E-6*MAX(1,ABS(D64)),"Yes","No"),IF(D64=E64,"Yes","No")))</f>
        <v/>
      </c>
    </row>
    <row r="65">
      <c r="A65" s="5" t="inlineStr">
        <is>
          <t>P&amp;L</t>
        </is>
      </c>
      <c r="B65" s="5" t="inlineStr">
        <is>
          <t>2025Q1 Operating margin</t>
        </is>
      </c>
      <c r="D65" s="52" t="n">
        <v>-0.05912611371003745</v>
      </c>
      <c r="E65" s="53">
        <f>'P&amp;L'!I17</f>
        <v/>
      </c>
      <c r="F65" s="54">
        <f>IF(AND(ISNUMBER(D65),ISNUMBER(E65)),E65-D65,"")</f>
        <v/>
      </c>
      <c r="G65" s="5">
        <f>IF(AND(D65="",E65=""),"Yes",IF(AND(ISNUMBER(D65),ISNUMBER(E65)),IF(ABS(E65-D65)&lt;=1E-6*MAX(1,ABS(D65)),"Yes","No"),IF(D65=E65,"Yes","No")))</f>
        <v/>
      </c>
    </row>
    <row r="66">
      <c r="A66" s="5" t="inlineStr">
        <is>
          <t>P&amp;L</t>
        </is>
      </c>
      <c r="B66" s="5" t="inlineStr">
        <is>
          <t>2025Q2 Operating margin</t>
        </is>
      </c>
      <c r="D66" s="52" t="n">
        <v>0.03558528428093646</v>
      </c>
      <c r="E66" s="53">
        <f>'P&amp;L'!J17</f>
        <v/>
      </c>
      <c r="F66" s="54">
        <f>IF(AND(ISNUMBER(D66),ISNUMBER(E66)),E66-D66,"")</f>
        <v/>
      </c>
      <c r="G66" s="5">
        <f>IF(AND(D66="",E66=""),"Yes",IF(AND(ISNUMBER(D66),ISNUMBER(E66)),IF(ABS(E66-D66)&lt;=1E-6*MAX(1,ABS(D66)),"Yes","No"),IF(D66=E66,"Yes","No")))</f>
        <v/>
      </c>
    </row>
    <row r="67">
      <c r="A67" s="5" t="inlineStr">
        <is>
          <t>P&amp;L</t>
        </is>
      </c>
      <c r="B67" s="5" t="inlineStr">
        <is>
          <t>2025Q3 Operating margin</t>
        </is>
      </c>
      <c r="D67" s="52" t="n">
        <v>-0.04341124853436212</v>
      </c>
      <c r="E67" s="53">
        <f>'P&amp;L'!K17</f>
        <v/>
      </c>
      <c r="F67" s="54">
        <f>IF(AND(ISNUMBER(D67),ISNUMBER(E67)),E67-D67,"")</f>
        <v/>
      </c>
      <c r="G67" s="5">
        <f>IF(AND(D67="",E67=""),"Yes",IF(AND(ISNUMBER(D67),ISNUMBER(E67)),IF(ABS(E67-D67)&lt;=1E-6*MAX(1,ABS(D67)),"Yes","No"),IF(D67=E67,"Yes","No")))</f>
        <v/>
      </c>
    </row>
    <row r="68">
      <c r="A68" s="5" t="inlineStr">
        <is>
          <t>P&amp;L</t>
        </is>
      </c>
      <c r="B68" s="5" t="inlineStr">
        <is>
          <t>2021 Advertising, % revenue</t>
        </is>
      </c>
      <c r="D68" s="52" t="n">
        <v>0.2223765439978758</v>
      </c>
      <c r="E68" s="53">
        <f>'P&amp;L'!B18</f>
        <v/>
      </c>
      <c r="F68" s="54">
        <f>IF(AND(ISNUMBER(D68),ISNUMBER(E68)),E68-D68,"")</f>
        <v/>
      </c>
      <c r="G68" s="5">
        <f>IF(AND(D68="",E68=""),"Yes",IF(AND(ISNUMBER(D68),ISNUMBER(E68)),IF(ABS(E68-D68)&lt;=1E-6*MAX(1,ABS(D68)),"Yes","No"),IF(D68=E68,"Yes","No")))</f>
        <v/>
      </c>
    </row>
    <row r="69">
      <c r="A69" s="5" t="inlineStr">
        <is>
          <t>P&amp;L</t>
        </is>
      </c>
      <c r="B69" s="5" t="inlineStr">
        <is>
          <t>2022 Advertising, % revenue</t>
        </is>
      </c>
      <c r="D69" s="52" t="n">
        <v>0.1764320090155833</v>
      </c>
      <c r="E69" s="53">
        <f>'P&amp;L'!C18</f>
        <v/>
      </c>
      <c r="F69" s="54">
        <f>IF(AND(ISNUMBER(D69),ISNUMBER(E69)),E69-D69,"")</f>
        <v/>
      </c>
      <c r="G69" s="5">
        <f>IF(AND(D69="",E69=""),"Yes",IF(AND(ISNUMBER(D69),ISNUMBER(E69)),IF(ABS(E69-D69)&lt;=1E-6*MAX(1,ABS(D69)),"Yes","No"),IF(D69=E69,"Yes","No")))</f>
        <v/>
      </c>
    </row>
    <row r="70">
      <c r="A70" s="5" t="inlineStr">
        <is>
          <t>P&amp;L</t>
        </is>
      </c>
      <c r="B70" s="5" t="inlineStr">
        <is>
          <t>2023 Advertising, % revenue</t>
        </is>
      </c>
      <c r="D70" s="52" t="n">
        <v>0.1447698303508511</v>
      </c>
      <c r="E70" s="53">
        <f>'P&amp;L'!D18</f>
        <v/>
      </c>
      <c r="F70" s="54">
        <f>IF(AND(ISNUMBER(D70),ISNUMBER(E70)),E70-D70,"")</f>
        <v/>
      </c>
      <c r="G70" s="5">
        <f>IF(AND(D70="",E70=""),"Yes",IF(AND(ISNUMBER(D70),ISNUMBER(E70)),IF(ABS(E70-D70)&lt;=1E-6*MAX(1,ABS(D70)),"Yes","No"),IF(D70=E70,"Yes","No")))</f>
        <v/>
      </c>
    </row>
    <row r="71">
      <c r="A71" s="5" t="inlineStr">
        <is>
          <t>P&amp;L</t>
        </is>
      </c>
      <c r="B71" s="5" t="inlineStr">
        <is>
          <t>2024 Advertising, % revenue</t>
        </is>
      </c>
      <c r="D71" s="52" t="n">
        <v>0.07769672378814693</v>
      </c>
      <c r="E71" s="53">
        <f>'P&amp;L'!E18</f>
        <v/>
      </c>
      <c r="F71" s="54">
        <f>IF(AND(ISNUMBER(D71),ISNUMBER(E71)),E71-D71,"")</f>
        <v/>
      </c>
      <c r="G71" s="5">
        <f>IF(AND(D71="",E71=""),"Yes",IF(AND(ISNUMBER(D71),ISNUMBER(E71)),IF(ABS(E71-D71)&lt;=1E-6*MAX(1,ABS(D71)),"Yes","No"),IF(D71=E71,"Yes","No")))</f>
        <v/>
      </c>
    </row>
    <row r="72">
      <c r="A72" s="5" t="inlineStr">
        <is>
          <t>Bridge</t>
        </is>
      </c>
      <c r="B72" s="5" t="inlineStr">
        <is>
          <t>2021-2022 Self-Serve &amp; Add-Ons volume</t>
        </is>
      </c>
      <c r="D72" s="52" t="n">
        <v>16.82850000000004</v>
      </c>
      <c r="E72" s="53">
        <f>Bridge!F5</f>
        <v/>
      </c>
      <c r="F72" s="54">
        <f>IF(AND(ISNUMBER(D72),ISNUMBER(E72)),E72-D72,"")</f>
        <v/>
      </c>
      <c r="G72" s="5">
        <f>IF(AND(D72="",E72=""),"Yes",IF(AND(ISNUMBER(D72),ISNUMBER(E72)),IF(ABS(E72-D72)&lt;=1E-6*MAX(1,ABS(D72)),"Yes","No"),IF(D72=E72,"Yes","No")))</f>
        <v/>
      </c>
    </row>
    <row r="73">
      <c r="A73" s="5" t="inlineStr">
        <is>
          <t>Bridge</t>
        </is>
      </c>
      <c r="B73" s="5" t="inlineStr">
        <is>
          <t>2021-2022 Self-Serve &amp; Add-Ons price</t>
        </is>
      </c>
      <c r="D73" s="52" t="n">
        <v>11.894</v>
      </c>
      <c r="E73" s="53">
        <f>Bridge!G5</f>
        <v/>
      </c>
      <c r="F73" s="54">
        <f>IF(AND(ISNUMBER(D73),ISNUMBER(E73)),E73-D73,"")</f>
        <v/>
      </c>
      <c r="G73" s="5">
        <f>IF(AND(D73="",E73=""),"Yes",IF(AND(ISNUMBER(D73),ISNUMBER(E73)),IF(ABS(E73-D73)&lt;=1E-6*MAX(1,ABS(D73)),"Yes","No"),IF(D73=E73,"Yes","No")))</f>
        <v/>
      </c>
    </row>
    <row r="74">
      <c r="A74" s="5" t="inlineStr">
        <is>
          <t>Bridge</t>
        </is>
      </c>
      <c r="B74" s="5" t="inlineStr">
        <is>
          <t>2021-2022 Self-Serve &amp; Add-Ons change</t>
        </is>
      </c>
      <c r="D74" s="52" t="n">
        <v>29.46699999999998</v>
      </c>
      <c r="E74" s="53">
        <f>Bridge!I5</f>
        <v/>
      </c>
      <c r="F74" s="54">
        <f>IF(AND(ISNUMBER(D74),ISNUMBER(E74)),E74-D74,"")</f>
        <v/>
      </c>
      <c r="G74" s="5">
        <f>IF(AND(D74="",E74=""),"Yes",IF(AND(ISNUMBER(D74),ISNUMBER(E74)),IF(ABS(E74-D74)&lt;=1E-6*MAX(1,ABS(D74)),"Yes","No"),IF(D74=E74,"Yes","No")))</f>
        <v/>
      </c>
    </row>
    <row r="75">
      <c r="A75" s="5" t="inlineStr">
        <is>
          <t>Bridge</t>
        </is>
      </c>
      <c r="B75" s="5" t="inlineStr">
        <is>
          <t>2021-2022 Vimeo Enterprise volume</t>
        </is>
      </c>
      <c r="D75" s="52" t="n">
        <v>14.0014</v>
      </c>
      <c r="E75" s="53">
        <f>Bridge!F6</f>
        <v/>
      </c>
      <c r="F75" s="54">
        <f>IF(AND(ISNUMBER(D75),ISNUMBER(E75)),E75-D75,"")</f>
        <v/>
      </c>
      <c r="G75" s="5">
        <f>IF(AND(D75="",E75=""),"Yes",IF(AND(ISNUMBER(D75),ISNUMBER(E75)),IF(ABS(E75-D75)&lt;=1E-6*MAX(1,ABS(D75)),"Yes","No"),IF(D75=E75,"Yes","No")))</f>
        <v/>
      </c>
    </row>
    <row r="76">
      <c r="A76" s="5" t="inlineStr">
        <is>
          <t>Bridge</t>
        </is>
      </c>
      <c r="B76" s="5" t="inlineStr">
        <is>
          <t>2021-2022 Vimeo Enterprise price</t>
        </is>
      </c>
      <c r="D76" s="52" t="n">
        <v>0.9888999999999999</v>
      </c>
      <c r="E76" s="53">
        <f>Bridge!G6</f>
        <v/>
      </c>
      <c r="F76" s="54">
        <f>IF(AND(ISNUMBER(D76),ISNUMBER(E76)),E76-D76,"")</f>
        <v/>
      </c>
      <c r="G76" s="5">
        <f>IF(AND(D76="",E76=""),"Yes",IF(AND(ISNUMBER(D76),ISNUMBER(E76)),IF(ABS(E76-D76)&lt;=1E-6*MAX(1,ABS(D76)),"Yes","No"),IF(D76=E76,"Yes","No")))</f>
        <v/>
      </c>
    </row>
    <row r="77">
      <c r="A77" s="5" t="inlineStr">
        <is>
          <t>Bridge</t>
        </is>
      </c>
      <c r="B77" s="5" t="inlineStr">
        <is>
          <t>2021-2022 Vimeo Enterprise change</t>
        </is>
      </c>
      <c r="D77" s="52" t="n">
        <v>16.035</v>
      </c>
      <c r="E77" s="53">
        <f>Bridge!I6</f>
        <v/>
      </c>
      <c r="F77" s="54">
        <f>IF(AND(ISNUMBER(D77),ISNUMBER(E77)),E77-D77,"")</f>
        <v/>
      </c>
      <c r="G77" s="5">
        <f>IF(AND(D77="",E77=""),"Yes",IF(AND(ISNUMBER(D77),ISNUMBER(E77)),IF(ABS(E77-D77)&lt;=1E-6*MAX(1,ABS(D77)),"Yes","No"),IF(D77=E77,"Yes","No")))</f>
        <v/>
      </c>
    </row>
    <row r="78">
      <c r="A78" s="5" t="inlineStr">
        <is>
          <t>Bridge</t>
        </is>
      </c>
      <c r="B78" s="5" t="inlineStr">
        <is>
          <t>2021-2022 Other volume</t>
        </is>
      </c>
      <c r="D78" s="52" t="n">
        <v>-34.372</v>
      </c>
      <c r="E78" s="53">
        <f>Bridge!F7</f>
        <v/>
      </c>
      <c r="F78" s="54">
        <f>IF(AND(ISNUMBER(D78),ISNUMBER(E78)),E78-D78,"")</f>
        <v/>
      </c>
      <c r="G78" s="5">
        <f>IF(AND(D78="",E78=""),"Yes",IF(AND(ISNUMBER(D78),ISNUMBER(E78)),IF(ABS(E78-D78)&lt;=1E-6*MAX(1,ABS(D78)),"Yes","No"),IF(D78=E78,"Yes","No")))</f>
        <v/>
      </c>
    </row>
    <row r="79">
      <c r="A79" s="5" t="inlineStr">
        <is>
          <t>Bridge</t>
        </is>
      </c>
      <c r="B79" s="5" t="inlineStr">
        <is>
          <t>2021-2022 Other price</t>
        </is>
      </c>
      <c r="D79" s="52" t="n">
        <v>30.104</v>
      </c>
      <c r="E79" s="53">
        <f>Bridge!G7</f>
        <v/>
      </c>
      <c r="F79" s="54">
        <f>IF(AND(ISNUMBER(D79),ISNUMBER(E79)),E79-D79,"")</f>
        <v/>
      </c>
      <c r="G79" s="5">
        <f>IF(AND(D79="",E79=""),"Yes",IF(AND(ISNUMBER(D79),ISNUMBER(E79)),IF(ABS(E79-D79)&lt;=1E-6*MAX(1,ABS(D79)),"Yes","No"),IF(D79=E79,"Yes","No")))</f>
        <v/>
      </c>
    </row>
    <row r="80">
      <c r="A80" s="5" t="inlineStr">
        <is>
          <t>Bridge</t>
        </is>
      </c>
      <c r="B80" s="5" t="inlineStr">
        <is>
          <t>2021-2022 Other change</t>
        </is>
      </c>
      <c r="D80" s="52" t="n">
        <v>-4.152000000000001</v>
      </c>
      <c r="E80" s="53">
        <f>Bridge!I7</f>
        <v/>
      </c>
      <c r="F80" s="54">
        <f>IF(AND(ISNUMBER(D80),ISNUMBER(E80)),E80-D80,"")</f>
        <v/>
      </c>
      <c r="G80" s="5">
        <f>IF(AND(D80="",E80=""),"Yes",IF(AND(ISNUMBER(D80),ISNUMBER(E80)),IF(ABS(E80-D80)&lt;=1E-6*MAX(1,ABS(D80)),"Yes","No"),IF(D80=E80,"Yes","No")))</f>
        <v/>
      </c>
    </row>
    <row r="81">
      <c r="A81" s="5" t="inlineStr">
        <is>
          <t>Bridge</t>
        </is>
      </c>
      <c r="B81" s="5" t="inlineStr">
        <is>
          <t>2022-2023 Self-Serve &amp; Add-Ons volume</t>
        </is>
      </c>
      <c r="D81" s="52" t="n">
        <v>-17.36875</v>
      </c>
      <c r="E81" s="53">
        <f>Bridge!F8</f>
        <v/>
      </c>
      <c r="F81" s="54">
        <f>IF(AND(ISNUMBER(D81),ISNUMBER(E81)),E81-D81,"")</f>
        <v/>
      </c>
      <c r="G81" s="5">
        <f>IF(AND(D81="",E81=""),"Yes",IF(AND(ISNUMBER(D81),ISNUMBER(E81)),IF(ABS(E81-D81)&lt;=1E-6*MAX(1,ABS(D81)),"Yes","No"),IF(D81=E81,"Yes","No")))</f>
        <v/>
      </c>
    </row>
    <row r="82">
      <c r="A82" s="5" t="inlineStr">
        <is>
          <t>Bridge</t>
        </is>
      </c>
      <c r="B82" s="5" t="inlineStr">
        <is>
          <t>2022-2023 Self-Serve &amp; Add-Ons price</t>
        </is>
      </c>
      <c r="D82" s="52" t="n">
        <v>-1.48615</v>
      </c>
      <c r="E82" s="53">
        <f>Bridge!G8</f>
        <v/>
      </c>
      <c r="F82" s="54">
        <f>IF(AND(ISNUMBER(D82),ISNUMBER(E82)),E82-D82,"")</f>
        <v/>
      </c>
      <c r="G82" s="5">
        <f>IF(AND(D82="",E82=""),"Yes",IF(AND(ISNUMBER(D82),ISNUMBER(E82)),IF(ABS(E82-D82)&lt;=1E-6*MAX(1,ABS(D82)),"Yes","No"),IF(D82=E82,"Yes","No")))</f>
        <v/>
      </c>
    </row>
    <row r="83">
      <c r="A83" s="5" t="inlineStr">
        <is>
          <t>Bridge</t>
        </is>
      </c>
      <c r="B83" s="5" t="inlineStr">
        <is>
          <t>2022-2023 Self-Serve &amp; Add-Ons change</t>
        </is>
      </c>
      <c r="D83" s="52" t="n">
        <v>-19.197</v>
      </c>
      <c r="E83" s="53">
        <f>Bridge!I8</f>
        <v/>
      </c>
      <c r="F83" s="54">
        <f>IF(AND(ISNUMBER(D83),ISNUMBER(E83)),E83-D83,"")</f>
        <v/>
      </c>
      <c r="G83" s="5">
        <f>IF(AND(D83="",E83=""),"Yes",IF(AND(ISNUMBER(D83),ISNUMBER(E83)),IF(ABS(E83-D83)&lt;=1E-6*MAX(1,ABS(D83)),"Yes","No"),IF(D83=E83,"Yes","No")))</f>
        <v/>
      </c>
    </row>
    <row r="84">
      <c r="A84" s="5" t="inlineStr">
        <is>
          <t>Bridge</t>
        </is>
      </c>
      <c r="B84" s="5" t="inlineStr">
        <is>
          <t>2022-2023 Vimeo Enterprise volume</t>
        </is>
      </c>
      <c r="D84" s="52" t="n">
        <v>18.2655</v>
      </c>
      <c r="E84" s="53">
        <f>Bridge!F9</f>
        <v/>
      </c>
      <c r="F84" s="54">
        <f>IF(AND(ISNUMBER(D84),ISNUMBER(E84)),E84-D84,"")</f>
        <v/>
      </c>
      <c r="G84" s="5">
        <f>IF(AND(D84="",E84=""),"Yes",IF(AND(ISNUMBER(D84),ISNUMBER(E84)),IF(ABS(E84-D84)&lt;=1E-6*MAX(1,ABS(D84)),"Yes","No"),IF(D84=E84,"Yes","No")))</f>
        <v/>
      </c>
    </row>
    <row r="85">
      <c r="A85" s="5" t="inlineStr">
        <is>
          <t>Bridge</t>
        </is>
      </c>
      <c r="B85" s="5" t="inlineStr">
        <is>
          <t>2022-2023 Vimeo Enterprise price</t>
        </is>
      </c>
      <c r="D85" s="52" t="n">
        <v>-0.1222</v>
      </c>
      <c r="E85" s="53">
        <f>Bridge!G9</f>
        <v/>
      </c>
      <c r="F85" s="54">
        <f>IF(AND(ISNUMBER(D85),ISNUMBER(E85)),E85-D85,"")</f>
        <v/>
      </c>
      <c r="G85" s="5">
        <f>IF(AND(D85="",E85=""),"Yes",IF(AND(ISNUMBER(D85),ISNUMBER(E85)),IF(ABS(E85-D85)&lt;=1E-6*MAX(1,ABS(D85)),"Yes","No"),IF(D85=E85,"Yes","No")))</f>
        <v/>
      </c>
    </row>
    <row r="86">
      <c r="A86" s="5" t="inlineStr">
        <is>
          <t>Bridge</t>
        </is>
      </c>
      <c r="B86" s="5" t="inlineStr">
        <is>
          <t>2022-2023 Vimeo Enterprise change</t>
        </is>
      </c>
      <c r="D86" s="52" t="n">
        <v>17.228</v>
      </c>
      <c r="E86" s="53">
        <f>Bridge!I9</f>
        <v/>
      </c>
      <c r="F86" s="54">
        <f>IF(AND(ISNUMBER(D86),ISNUMBER(E86)),E86-D86,"")</f>
        <v/>
      </c>
      <c r="G86" s="5">
        <f>IF(AND(D86="",E86=""),"Yes",IF(AND(ISNUMBER(D86),ISNUMBER(E86)),IF(ABS(E86-D86)&lt;=1E-6*MAX(1,ABS(D86)),"Yes","No"),IF(D86=E86,"Yes","No")))</f>
        <v/>
      </c>
    </row>
    <row r="87">
      <c r="A87" s="5" t="inlineStr">
        <is>
          <t>Bridge</t>
        </is>
      </c>
      <c r="B87" s="5" t="inlineStr">
        <is>
          <t>2022-2023 Other volume</t>
        </is>
      </c>
      <c r="D87" s="52" t="n">
        <v>-30.60475</v>
      </c>
      <c r="E87" s="53">
        <f>Bridge!F10</f>
        <v/>
      </c>
      <c r="F87" s="54">
        <f>IF(AND(ISNUMBER(D87),ISNUMBER(E87)),E87-D87,"")</f>
        <v/>
      </c>
      <c r="G87" s="5">
        <f>IF(AND(D87="",E87=""),"Yes",IF(AND(ISNUMBER(D87),ISNUMBER(E87)),IF(ABS(E87-D87)&lt;=1E-6*MAX(1,ABS(D87)),"Yes","No"),IF(D87=E87,"Yes","No")))</f>
        <v/>
      </c>
    </row>
    <row r="88">
      <c r="A88" s="5" t="inlineStr">
        <is>
          <t>Bridge</t>
        </is>
      </c>
      <c r="B88" s="5" t="inlineStr">
        <is>
          <t>2022-2023 Other price</t>
        </is>
      </c>
      <c r="D88" s="52" t="n">
        <v>16.76655</v>
      </c>
      <c r="E88" s="53">
        <f>Bridge!G10</f>
        <v/>
      </c>
      <c r="F88" s="54">
        <f>IF(AND(ISNUMBER(D88),ISNUMBER(E88)),E88-D88,"")</f>
        <v/>
      </c>
      <c r="G88" s="5">
        <f>IF(AND(D88="",E88=""),"Yes",IF(AND(ISNUMBER(D88),ISNUMBER(E88)),IF(ABS(E88-D88)&lt;=1E-6*MAX(1,ABS(D88)),"Yes","No"),IF(D88=E88,"Yes","No")))</f>
        <v/>
      </c>
    </row>
    <row r="89">
      <c r="A89" s="5" t="inlineStr">
        <is>
          <t>Bridge</t>
        </is>
      </c>
      <c r="B89" s="5" t="inlineStr">
        <is>
          <t>2022-2023 Other change</t>
        </is>
      </c>
      <c r="D89" s="52" t="n">
        <v>-13.845</v>
      </c>
      <c r="E89" s="53">
        <f>Bridge!I10</f>
        <v/>
      </c>
      <c r="F89" s="54">
        <f>IF(AND(ISNUMBER(D89),ISNUMBER(E89)),E89-D89,"")</f>
        <v/>
      </c>
      <c r="G89" s="5">
        <f>IF(AND(D89="",E89=""),"Yes",IF(AND(ISNUMBER(D89),ISNUMBER(E89)),IF(ABS(E89-D89)&lt;=1E-6*MAX(1,ABS(D89)),"Yes","No"),IF(D89=E89,"Yes","No")))</f>
        <v/>
      </c>
    </row>
    <row r="90">
      <c r="A90" s="5" t="inlineStr">
        <is>
          <t>Bridge</t>
        </is>
      </c>
      <c r="B90" s="5" t="inlineStr">
        <is>
          <t>2023-2024 Self-Serve &amp; Add-Ons volume</t>
        </is>
      </c>
      <c r="D90" s="52" t="n">
        <v>-28.15610000000001</v>
      </c>
      <c r="E90" s="53">
        <f>Bridge!F11</f>
        <v/>
      </c>
      <c r="F90" s="54">
        <f>IF(AND(ISNUMBER(D90),ISNUMBER(E90)),E90-D90,"")</f>
        <v/>
      </c>
      <c r="G90" s="5">
        <f>IF(AND(D90="",E90=""),"Yes",IF(AND(ISNUMBER(D90),ISNUMBER(E90)),IF(ABS(E90-D90)&lt;=1E-6*MAX(1,ABS(D90)),"Yes","No"),IF(D90=E90,"Yes","No")))</f>
        <v/>
      </c>
    </row>
    <row r="91">
      <c r="A91" s="5" t="inlineStr">
        <is>
          <t>Bridge</t>
        </is>
      </c>
      <c r="B91" s="5" t="inlineStr">
        <is>
          <t>2023-2024 Self-Serve &amp; Add-Ons price</t>
        </is>
      </c>
      <c r="D91" s="52" t="n">
        <v>13.7305</v>
      </c>
      <c r="E91" s="53">
        <f>Bridge!G11</f>
        <v/>
      </c>
      <c r="F91" s="54">
        <f>IF(AND(ISNUMBER(D91),ISNUMBER(E91)),E91-D91,"")</f>
        <v/>
      </c>
      <c r="G91" s="5">
        <f>IF(AND(D91="",E91=""),"Yes",IF(AND(ISNUMBER(D91),ISNUMBER(E91)),IF(ABS(E91-D91)&lt;=1E-6*MAX(1,ABS(D91)),"Yes","No"),IF(D91=E91,"Yes","No")))</f>
        <v/>
      </c>
    </row>
    <row r="92">
      <c r="A92" s="5" t="inlineStr">
        <is>
          <t>Bridge</t>
        </is>
      </c>
      <c r="B92" s="5" t="inlineStr">
        <is>
          <t>2023-2024 Self-Serve &amp; Add-Ons change</t>
        </is>
      </c>
      <c r="D92" s="52" t="n">
        <v>-13.83800000000002</v>
      </c>
      <c r="E92" s="53">
        <f>Bridge!I11</f>
        <v/>
      </c>
      <c r="F92" s="54">
        <f>IF(AND(ISNUMBER(D92),ISNUMBER(E92)),E92-D92,"")</f>
        <v/>
      </c>
      <c r="G92" s="5">
        <f>IF(AND(D92="",E92=""),"Yes",IF(AND(ISNUMBER(D92),ISNUMBER(E92)),IF(ABS(E92-D92)&lt;=1E-6*MAX(1,ABS(D92)),"Yes","No"),IF(D92=E92,"Yes","No")))</f>
        <v/>
      </c>
    </row>
    <row r="93">
      <c r="A93" s="5" t="inlineStr">
        <is>
          <t>Bridge</t>
        </is>
      </c>
      <c r="B93" s="5" t="inlineStr">
        <is>
          <t>2023-2024 Vimeo Enterprise volume</t>
        </is>
      </c>
      <c r="D93" s="52" t="n">
        <v>19.36080000000001</v>
      </c>
      <c r="E93" s="53">
        <f>Bridge!F12</f>
        <v/>
      </c>
      <c r="F93" s="54">
        <f>IF(AND(ISNUMBER(D93),ISNUMBER(E93)),E93-D93,"")</f>
        <v/>
      </c>
      <c r="G93" s="5">
        <f>IF(AND(D93="",E93=""),"Yes",IF(AND(ISNUMBER(D93),ISNUMBER(E93)),IF(ABS(E93-D93)&lt;=1E-6*MAX(1,ABS(D93)),"Yes","No"),IF(D93=E93,"Yes","No")))</f>
        <v/>
      </c>
    </row>
    <row r="94">
      <c r="A94" s="5" t="inlineStr">
        <is>
          <t>Bridge</t>
        </is>
      </c>
      <c r="B94" s="5" t="inlineStr">
        <is>
          <t>2023-2024 Vimeo Enterprise price</t>
        </is>
      </c>
      <c r="D94" s="52" t="n">
        <v>8.079499999999999</v>
      </c>
      <c r="E94" s="53">
        <f>Bridge!G12</f>
        <v/>
      </c>
      <c r="F94" s="54">
        <f>IF(AND(ISNUMBER(D94),ISNUMBER(E94)),E94-D94,"")</f>
        <v/>
      </c>
      <c r="G94" s="5">
        <f>IF(AND(D94="",E94=""),"Yes",IF(AND(ISNUMBER(D94),ISNUMBER(E94)),IF(ABS(E94-D94)&lt;=1E-6*MAX(1,ABS(D94)),"Yes","No"),IF(D94=E94,"Yes","No")))</f>
        <v/>
      </c>
    </row>
    <row r="95">
      <c r="A95" s="5" t="inlineStr">
        <is>
          <t>Bridge</t>
        </is>
      </c>
      <c r="B95" s="5" t="inlineStr">
        <is>
          <t>2023-2024 Vimeo Enterprise change</t>
        </is>
      </c>
      <c r="D95" s="52" t="n">
        <v>26.692</v>
      </c>
      <c r="E95" s="53">
        <f>Bridge!I12</f>
        <v/>
      </c>
      <c r="F95" s="54">
        <f>IF(AND(ISNUMBER(D95),ISNUMBER(E95)),E95-D95,"")</f>
        <v/>
      </c>
      <c r="G95" s="5">
        <f>IF(AND(D95="",E95=""),"Yes",IF(AND(ISNUMBER(D95),ISNUMBER(E95)),IF(ABS(E95-D95)&lt;=1E-6*MAX(1,ABS(D95)),"Yes","No"),IF(D95=E95,"Yes","No")))</f>
        <v/>
      </c>
    </row>
    <row r="96">
      <c r="A96" s="5" t="inlineStr">
        <is>
          <t>Bridge</t>
        </is>
      </c>
      <c r="B96" s="5" t="inlineStr">
        <is>
          <t>2023-2024 Other volume</t>
        </is>
      </c>
      <c r="D96" s="52" t="n">
        <v>-21.59999999999999</v>
      </c>
      <c r="E96" s="53">
        <f>Bridge!F13</f>
        <v/>
      </c>
      <c r="F96" s="54">
        <f>IF(AND(ISNUMBER(D96),ISNUMBER(E96)),E96-D96,"")</f>
        <v/>
      </c>
      <c r="G96" s="5">
        <f>IF(AND(D96="",E96=""),"Yes",IF(AND(ISNUMBER(D96),ISNUMBER(E96)),IF(ABS(E96-D96)&lt;=1E-6*MAX(1,ABS(D96)),"Yes","No"),IF(D96=E96,"Yes","No")))</f>
        <v/>
      </c>
    </row>
    <row r="97">
      <c r="A97" s="5" t="inlineStr">
        <is>
          <t>Bridge</t>
        </is>
      </c>
      <c r="B97" s="5" t="inlineStr">
        <is>
          <t>2023-2024 Other price</t>
        </is>
      </c>
      <c r="D97" s="52" t="n">
        <v>8.5932</v>
      </c>
      <c r="E97" s="53">
        <f>Bridge!G13</f>
        <v/>
      </c>
      <c r="F97" s="54">
        <f>IF(AND(ISNUMBER(D97),ISNUMBER(E97)),E97-D97,"")</f>
        <v/>
      </c>
      <c r="G97" s="5">
        <f>IF(AND(D97="",E97=""),"Yes",IF(AND(ISNUMBER(D97),ISNUMBER(E97)),IF(ABS(E97-D97)&lt;=1E-6*MAX(1,ABS(D97)),"Yes","No"),IF(D97=E97,"Yes","No")))</f>
        <v/>
      </c>
    </row>
    <row r="98">
      <c r="A98" s="5" t="inlineStr">
        <is>
          <t>Bridge</t>
        </is>
      </c>
      <c r="B98" s="5" t="inlineStr">
        <is>
          <t>2023-2024 Other change</t>
        </is>
      </c>
      <c r="D98" s="52" t="n">
        <v>-13.062</v>
      </c>
      <c r="E98" s="53">
        <f>Bridge!I13</f>
        <v/>
      </c>
      <c r="F98" s="54">
        <f>IF(AND(ISNUMBER(D98),ISNUMBER(E98)),E98-D98,"")</f>
        <v/>
      </c>
      <c r="G98" s="5">
        <f>IF(AND(D98="",E98=""),"Yes",IF(AND(ISNUMBER(D98),ISNUMBER(E98)),IF(ABS(E98-D98)&lt;=1E-6*MAX(1,ABS(D98)),"Yes","No"),IF(D98=E98,"Yes","No")))</f>
        <v/>
      </c>
    </row>
    <row r="99">
      <c r="A99" s="5" t="inlineStr">
        <is>
          <t>Bridge</t>
        </is>
      </c>
      <c r="B99" s="5" t="inlineStr">
        <is>
          <t>2024Q1-2025Q1 Self-Serve volume</t>
        </is>
      </c>
      <c r="D99" s="52" t="n">
        <v>-6.835121769967803</v>
      </c>
      <c r="E99" s="53">
        <f>Bridge!F14</f>
        <v/>
      </c>
      <c r="F99" s="54">
        <f>IF(AND(ISNUMBER(D99),ISNUMBER(E99)),E99-D99,"")</f>
        <v/>
      </c>
      <c r="G99" s="5">
        <f>IF(AND(D99="",E99=""),"Yes",IF(AND(ISNUMBER(D99),ISNUMBER(E99)),IF(ABS(E99-D99)&lt;=1E-6*MAX(1,ABS(D99)),"Yes","No"),IF(D99=E99,"Yes","No")))</f>
        <v/>
      </c>
    </row>
    <row r="100">
      <c r="A100" s="5" t="inlineStr">
        <is>
          <t>Bridge</t>
        </is>
      </c>
      <c r="B100" s="5" t="inlineStr">
        <is>
          <t>2024Q1-2025Q1 Self-Serve price</t>
        </is>
      </c>
      <c r="D100" s="52" t="n">
        <v>3.961382541732164</v>
      </c>
      <c r="E100" s="53">
        <f>Bridge!G14</f>
        <v/>
      </c>
      <c r="F100" s="54">
        <f>IF(AND(ISNUMBER(D100),ISNUMBER(E100)),E100-D100,"")</f>
        <v/>
      </c>
      <c r="G100" s="5">
        <f>IF(AND(D100="",E100=""),"Yes",IF(AND(ISNUMBER(D100),ISNUMBER(E100)),IF(ABS(E100-D100)&lt;=1E-6*MAX(1,ABS(D100)),"Yes","No"),IF(D100=E100,"Yes","No")))</f>
        <v/>
      </c>
    </row>
    <row r="101">
      <c r="A101" s="5" t="inlineStr">
        <is>
          <t>Bridge</t>
        </is>
      </c>
      <c r="B101" s="5" t="inlineStr">
        <is>
          <t>2024Q1-2025Q1 Self-Serve change</t>
        </is>
      </c>
      <c r="D101" s="52" t="n">
        <v>-2.994999999999997</v>
      </c>
      <c r="E101" s="53">
        <f>Bridge!I14</f>
        <v/>
      </c>
      <c r="F101" s="54">
        <f>IF(AND(ISNUMBER(D101),ISNUMBER(E101)),E101-D101,"")</f>
        <v/>
      </c>
      <c r="G101" s="5">
        <f>IF(AND(D101="",E101=""),"Yes",IF(AND(ISNUMBER(D101),ISNUMBER(E101)),IF(ABS(E101-D101)&lt;=1E-6*MAX(1,ABS(D101)),"Yes","No"),IF(D101=E101,"Yes","No")))</f>
        <v/>
      </c>
    </row>
    <row r="102">
      <c r="A102" s="5" t="inlineStr">
        <is>
          <t>Bridge</t>
        </is>
      </c>
      <c r="B102" s="5" t="inlineStr">
        <is>
          <t>2024Q1-2025Q1 Vimeo Enterprise volume</t>
        </is>
      </c>
      <c r="D102" s="52" t="n">
        <v>2.835863846470545</v>
      </c>
      <c r="E102" s="53">
        <f>Bridge!F15</f>
        <v/>
      </c>
      <c r="F102" s="54">
        <f>IF(AND(ISNUMBER(D102),ISNUMBER(E102)),E102-D102,"")</f>
        <v/>
      </c>
      <c r="G102" s="5">
        <f>IF(AND(D102="",E102=""),"Yes",IF(AND(ISNUMBER(D102),ISNUMBER(E102)),IF(ABS(E102-D102)&lt;=1E-6*MAX(1,ABS(D102)),"Yes","No"),IF(D102=E102,"Yes","No")))</f>
        <v/>
      </c>
    </row>
    <row r="103">
      <c r="A103" s="5" t="inlineStr">
        <is>
          <t>Bridge</t>
        </is>
      </c>
      <c r="B103" s="5" t="inlineStr">
        <is>
          <t>2024Q1-2025Q1 Vimeo Enterprise price</t>
        </is>
      </c>
      <c r="D103" s="52" t="n">
        <v>2.999576549517179</v>
      </c>
      <c r="E103" s="53">
        <f>Bridge!G15</f>
        <v/>
      </c>
      <c r="F103" s="54">
        <f>IF(AND(ISNUMBER(D103),ISNUMBER(E103)),E103-D103,"")</f>
        <v/>
      </c>
      <c r="G103" s="5">
        <f>IF(AND(D103="",E103=""),"Yes",IF(AND(ISNUMBER(D103),ISNUMBER(E103)),IF(ABS(E103-D103)&lt;=1E-6*MAX(1,ABS(D103)),"Yes","No"),IF(D103=E103,"Yes","No")))</f>
        <v/>
      </c>
    </row>
    <row r="104">
      <c r="A104" s="5" t="inlineStr">
        <is>
          <t>Bridge</t>
        </is>
      </c>
      <c r="B104" s="5" t="inlineStr">
        <is>
          <t>2024Q1-2025Q1 Vimeo Enterprise change</t>
        </is>
      </c>
      <c r="D104" s="52" t="n">
        <v>5.957000000000001</v>
      </c>
      <c r="E104" s="53">
        <f>Bridge!I15</f>
        <v/>
      </c>
      <c r="F104" s="54">
        <f>IF(AND(ISNUMBER(D104),ISNUMBER(E104)),E104-D104,"")</f>
        <v/>
      </c>
      <c r="G104" s="5">
        <f>IF(AND(D104="",E104=""),"Yes",IF(AND(ISNUMBER(D104),ISNUMBER(E104)),IF(ABS(E104-D104)&lt;=1E-6*MAX(1,ABS(D104)),"Yes","No"),IF(D104=E104,"Yes","No")))</f>
        <v/>
      </c>
    </row>
    <row r="105">
      <c r="A105" s="5" t="inlineStr">
        <is>
          <t>Bridge</t>
        </is>
      </c>
      <c r="B105" s="5" t="inlineStr">
        <is>
          <t>2024Q1-2025Q1 OTT volume</t>
        </is>
      </c>
      <c r="D105" s="52" t="n">
        <v>0.8179320345834276</v>
      </c>
      <c r="E105" s="53">
        <f>Bridge!F16</f>
        <v/>
      </c>
      <c r="F105" s="54">
        <f>IF(AND(ISNUMBER(D105),ISNUMBER(E105)),E105-D105,"")</f>
        <v/>
      </c>
      <c r="G105" s="5">
        <f>IF(AND(D105="",E105=""),"Yes",IF(AND(ISNUMBER(D105),ISNUMBER(E105)),IF(ABS(E105-D105)&lt;=1E-6*MAX(1,ABS(D105)),"Yes","No"),IF(D105=E105,"Yes","No")))</f>
        <v/>
      </c>
    </row>
    <row r="106">
      <c r="A106" s="5" t="inlineStr">
        <is>
          <t>Bridge</t>
        </is>
      </c>
      <c r="B106" s="5" t="inlineStr">
        <is>
          <t>2024Q1-2025Q1 OTT price</t>
        </is>
      </c>
      <c r="D106" s="52" t="n">
        <v>-1.360364304962945</v>
      </c>
      <c r="E106" s="53">
        <f>Bridge!G16</f>
        <v/>
      </c>
      <c r="F106" s="54">
        <f>IF(AND(ISNUMBER(D106),ISNUMBER(E106)),E106-D106,"")</f>
        <v/>
      </c>
      <c r="G106" s="5">
        <f>IF(AND(D106="",E106=""),"Yes",IF(AND(ISNUMBER(D106),ISNUMBER(E106)),IF(ABS(E106-D106)&lt;=1E-6*MAX(1,ABS(D106)),"Yes","No"),IF(D106=E106,"Yes","No")))</f>
        <v/>
      </c>
    </row>
    <row r="107">
      <c r="A107" s="5" t="inlineStr">
        <is>
          <t>Bridge</t>
        </is>
      </c>
      <c r="B107" s="5" t="inlineStr">
        <is>
          <t>2024Q1-2025Q1 OTT change</t>
        </is>
      </c>
      <c r="D107" s="52" t="n">
        <v>-0.8159999999999989</v>
      </c>
      <c r="E107" s="53">
        <f>Bridge!I16</f>
        <v/>
      </c>
      <c r="F107" s="54">
        <f>IF(AND(ISNUMBER(D107),ISNUMBER(E107)),E107-D107,"")</f>
        <v/>
      </c>
      <c r="G107" s="5">
        <f>IF(AND(D107="",E107=""),"Yes",IF(AND(ISNUMBER(D107),ISNUMBER(E107)),IF(ABS(E107-D107)&lt;=1E-6*MAX(1,ABS(D107)),"Yes","No"),IF(D107=E107,"Yes","No")))</f>
        <v/>
      </c>
    </row>
    <row r="108">
      <c r="A108" s="5" t="inlineStr">
        <is>
          <t>Bridge</t>
        </is>
      </c>
      <c r="B108" s="5" t="inlineStr">
        <is>
          <t>2024Q2-2025Q2 Self-Serve volume</t>
        </is>
      </c>
      <c r="D108" s="52" t="n">
        <v>-6.858165988472185</v>
      </c>
      <c r="E108" s="53">
        <f>Bridge!F17</f>
        <v/>
      </c>
      <c r="F108" s="54">
        <f>IF(AND(ISNUMBER(D108),ISNUMBER(E108)),E108-D108,"")</f>
        <v/>
      </c>
      <c r="G108" s="5">
        <f>IF(AND(D108="",E108=""),"Yes",IF(AND(ISNUMBER(D108),ISNUMBER(E108)),IF(ABS(E108-D108)&lt;=1E-6*MAX(1,ABS(D108)),"Yes","No"),IF(D108=E108,"Yes","No")))</f>
        <v/>
      </c>
    </row>
    <row r="109">
      <c r="A109" s="5" t="inlineStr">
        <is>
          <t>Bridge</t>
        </is>
      </c>
      <c r="B109" s="5" t="inlineStr">
        <is>
          <t>2024Q2-2025Q2 Self-Serve price</t>
        </is>
      </c>
      <c r="D109" s="52" t="n">
        <v>6.055064796766231</v>
      </c>
      <c r="E109" s="53">
        <f>Bridge!G17</f>
        <v/>
      </c>
      <c r="F109" s="54">
        <f>IF(AND(ISNUMBER(D109),ISNUMBER(E109)),E109-D109,"")</f>
        <v/>
      </c>
      <c r="G109" s="5">
        <f>IF(AND(D109="",E109=""),"Yes",IF(AND(ISNUMBER(D109),ISNUMBER(E109)),IF(ABS(E109-D109)&lt;=1E-6*MAX(1,ABS(D109)),"Yes","No"),IF(D109=E109,"Yes","No")))</f>
        <v/>
      </c>
    </row>
    <row r="110">
      <c r="A110" s="5" t="inlineStr">
        <is>
          <t>Bridge</t>
        </is>
      </c>
      <c r="B110" s="5" t="inlineStr">
        <is>
          <t>2024Q2-2025Q2 Self-Serve change</t>
        </is>
      </c>
      <c r="D110" s="52" t="n">
        <v>-0.8190000000000026</v>
      </c>
      <c r="E110" s="53">
        <f>Bridge!I17</f>
        <v/>
      </c>
      <c r="F110" s="54">
        <f>IF(AND(ISNUMBER(D110),ISNUMBER(E110)),E110-D110,"")</f>
        <v/>
      </c>
      <c r="G110" s="5">
        <f>IF(AND(D110="",E110=""),"Yes",IF(AND(ISNUMBER(D110),ISNUMBER(E110)),IF(ABS(E110-D110)&lt;=1E-6*MAX(1,ABS(D110)),"Yes","No"),IF(D110=E110,"Yes","No")))</f>
        <v/>
      </c>
    </row>
    <row r="111">
      <c r="A111" s="5" t="inlineStr">
        <is>
          <t>Bridge</t>
        </is>
      </c>
      <c r="B111" s="5" t="inlineStr">
        <is>
          <t>2024Q2-2025Q2 Vimeo Enterprise volume</t>
        </is>
      </c>
      <c r="D111" s="52" t="n">
        <v>2.324711108615911</v>
      </c>
      <c r="E111" s="53">
        <f>Bridge!F18</f>
        <v/>
      </c>
      <c r="F111" s="54">
        <f>IF(AND(ISNUMBER(D111),ISNUMBER(E111)),E111-D111,"")</f>
        <v/>
      </c>
      <c r="G111" s="5">
        <f>IF(AND(D111="",E111=""),"Yes",IF(AND(ISNUMBER(D111),ISNUMBER(E111)),IF(ABS(E111-D111)&lt;=1E-6*MAX(1,ABS(D111)),"Yes","No"),IF(D111=E111,"Yes","No")))</f>
        <v/>
      </c>
    </row>
    <row r="112">
      <c r="A112" s="5" t="inlineStr">
        <is>
          <t>Bridge</t>
        </is>
      </c>
      <c r="B112" s="5" t="inlineStr">
        <is>
          <t>2024Q2-2025Q2 Vimeo Enterprise price</t>
        </is>
      </c>
      <c r="D112" s="52" t="n">
        <v>2.710897765551314</v>
      </c>
      <c r="E112" s="53">
        <f>Bridge!G18</f>
        <v/>
      </c>
      <c r="F112" s="54">
        <f>IF(AND(ISNUMBER(D112),ISNUMBER(E112)),E112-D112,"")</f>
        <v/>
      </c>
      <c r="G112" s="5">
        <f>IF(AND(D112="",E112=""),"Yes",IF(AND(ISNUMBER(D112),ISNUMBER(E112)),IF(ABS(E112-D112)&lt;=1E-6*MAX(1,ABS(D112)),"Yes","No"),IF(D112=E112,"Yes","No")))</f>
        <v/>
      </c>
    </row>
    <row r="113">
      <c r="A113" s="5" t="inlineStr">
        <is>
          <t>Bridge</t>
        </is>
      </c>
      <c r="B113" s="5" t="inlineStr">
        <is>
          <t>2024Q2-2025Q2 Vimeo Enterprise change</t>
        </is>
      </c>
      <c r="D113" s="52" t="n">
        <v>4.946000000000002</v>
      </c>
      <c r="E113" s="53">
        <f>Bridge!I18</f>
        <v/>
      </c>
      <c r="F113" s="54">
        <f>IF(AND(ISNUMBER(D113),ISNUMBER(E113)),E113-D113,"")</f>
        <v/>
      </c>
      <c r="G113" s="5">
        <f>IF(AND(D113="",E113=""),"Yes",IF(AND(ISNUMBER(D113),ISNUMBER(E113)),IF(ABS(E113-D113)&lt;=1E-6*MAX(1,ABS(D113)),"Yes","No"),IF(D113=E113,"Yes","No")))</f>
        <v/>
      </c>
    </row>
    <row r="114">
      <c r="A114" s="5" t="inlineStr">
        <is>
          <t>Bridge</t>
        </is>
      </c>
      <c r="B114" s="5" t="inlineStr">
        <is>
          <t>2024Q2-2025Q2 OTT volume</t>
        </is>
      </c>
      <c r="D114" s="52" t="n">
        <v>0.408630632906655</v>
      </c>
      <c r="E114" s="53">
        <f>Bridge!F19</f>
        <v/>
      </c>
      <c r="F114" s="54">
        <f>IF(AND(ISNUMBER(D114),ISNUMBER(E114)),E114-D114,"")</f>
        <v/>
      </c>
      <c r="G114" s="5">
        <f>IF(AND(D114="",E114=""),"Yes",IF(AND(ISNUMBER(D114),ISNUMBER(E114)),IF(ABS(E114-D114)&lt;=1E-6*MAX(1,ABS(D114)),"Yes","No"),IF(D114=E114,"Yes","No")))</f>
        <v/>
      </c>
    </row>
    <row r="115">
      <c r="A115" s="5" t="inlineStr">
        <is>
          <t>Bridge</t>
        </is>
      </c>
      <c r="B115" s="5" t="inlineStr">
        <is>
          <t>2024Q2-2025Q2 OTT price</t>
        </is>
      </c>
      <c r="D115" s="52" t="n">
        <v>-1.01914805936073</v>
      </c>
      <c r="E115" s="53">
        <f>Bridge!G19</f>
        <v/>
      </c>
      <c r="F115" s="54">
        <f>IF(AND(ISNUMBER(D115),ISNUMBER(E115)),E115-D115,"")</f>
        <v/>
      </c>
      <c r="G115" s="5">
        <f>IF(AND(D115="",E115=""),"Yes",IF(AND(ISNUMBER(D115),ISNUMBER(E115)),IF(ABS(E115-D115)&lt;=1E-6*MAX(1,ABS(D115)),"Yes","No"),IF(D115=E115,"Yes","No")))</f>
        <v/>
      </c>
    </row>
    <row r="116">
      <c r="A116" s="5" t="inlineStr">
        <is>
          <t>Bridge</t>
        </is>
      </c>
      <c r="B116" s="5" t="inlineStr">
        <is>
          <t>2024Q2-2025Q2 OTT change</t>
        </is>
      </c>
      <c r="D116" s="52" t="n">
        <v>-0.3729999999999993</v>
      </c>
      <c r="E116" s="53">
        <f>Bridge!I19</f>
        <v/>
      </c>
      <c r="F116" s="54">
        <f>IF(AND(ISNUMBER(D116),ISNUMBER(E116)),E116-D116,"")</f>
        <v/>
      </c>
      <c r="G116" s="5">
        <f>IF(AND(D116="",E116=""),"Yes",IF(AND(ISNUMBER(D116),ISNUMBER(E116)),IF(ABS(E116-D116)&lt;=1E-6*MAX(1,ABS(D116)),"Yes","No"),IF(D116=E116,"Yes","No")))</f>
        <v/>
      </c>
    </row>
    <row r="117">
      <c r="A117" s="5" t="inlineStr">
        <is>
          <t>Bridge</t>
        </is>
      </c>
      <c r="B117" s="5" t="inlineStr">
        <is>
          <t>2024Q3-2025Q3 Self-Serve volume</t>
        </is>
      </c>
      <c r="D117" s="52" t="n">
        <v>-6.851992721012044</v>
      </c>
      <c r="E117" s="53">
        <f>Bridge!F20</f>
        <v/>
      </c>
      <c r="F117" s="54">
        <f>IF(AND(ISNUMBER(D117),ISNUMBER(E117)),E117-D117,"")</f>
        <v/>
      </c>
      <c r="G117" s="5">
        <f>IF(AND(D117="",E117=""),"Yes",IF(AND(ISNUMBER(D117),ISNUMBER(E117)),IF(ABS(E117-D117)&lt;=1E-6*MAX(1,ABS(D117)),"Yes","No"),IF(D117=E117,"Yes","No")))</f>
        <v/>
      </c>
    </row>
    <row r="118">
      <c r="A118" s="5" t="inlineStr">
        <is>
          <t>Bridge</t>
        </is>
      </c>
      <c r="B118" s="5" t="inlineStr">
        <is>
          <t>2024Q3-2025Q3 Self-Serve price</t>
        </is>
      </c>
      <c r="D118" s="52" t="n">
        <v>7.182685030316641</v>
      </c>
      <c r="E118" s="53">
        <f>Bridge!G20</f>
        <v/>
      </c>
      <c r="F118" s="54">
        <f>IF(AND(ISNUMBER(D118),ISNUMBER(E118)),E118-D118,"")</f>
        <v/>
      </c>
      <c r="G118" s="5">
        <f>IF(AND(D118="",E118=""),"Yes",IF(AND(ISNUMBER(D118),ISNUMBER(E118)),IF(ABS(E118-D118)&lt;=1E-6*MAX(1,ABS(D118)),"Yes","No"),IF(D118=E118,"Yes","No")))</f>
        <v/>
      </c>
    </row>
    <row r="119">
      <c r="A119" s="5" t="inlineStr">
        <is>
          <t>Bridge</t>
        </is>
      </c>
      <c r="B119" s="5" t="inlineStr">
        <is>
          <t>2024Q3-2025Q3 Self-Serve change</t>
        </is>
      </c>
      <c r="D119" s="52" t="n">
        <v>0.3870000000000005</v>
      </c>
      <c r="E119" s="53">
        <f>Bridge!I20</f>
        <v/>
      </c>
      <c r="F119" s="54">
        <f>IF(AND(ISNUMBER(D119),ISNUMBER(E119)),E119-D119,"")</f>
        <v/>
      </c>
      <c r="G119" s="5">
        <f>IF(AND(D119="",E119=""),"Yes",IF(AND(ISNUMBER(D119),ISNUMBER(E119)),IF(ABS(E119-D119)&lt;=1E-6*MAX(1,ABS(D119)),"Yes","No"),IF(D119=E119,"Yes","No")))</f>
        <v/>
      </c>
    </row>
    <row r="120">
      <c r="A120" s="5" t="inlineStr">
        <is>
          <t>Bridge</t>
        </is>
      </c>
      <c r="B120" s="5" t="inlineStr">
        <is>
          <t>2024Q3-2025Q3 Vimeo Enterprise volume</t>
        </is>
      </c>
      <c r="D120" s="52" t="n">
        <v>2.396891929036601</v>
      </c>
      <c r="E120" s="53">
        <f>Bridge!F21</f>
        <v/>
      </c>
      <c r="F120" s="54">
        <f>IF(AND(ISNUMBER(D120),ISNUMBER(E120)),E120-D120,"")</f>
        <v/>
      </c>
      <c r="G120" s="5">
        <f>IF(AND(D120="",E120=""),"Yes",IF(AND(ISNUMBER(D120),ISNUMBER(E120)),IF(ABS(E120-D120)&lt;=1E-6*MAX(1,ABS(D120)),"Yes","No"),IF(D120=E120,"Yes","No")))</f>
        <v/>
      </c>
    </row>
    <row r="121">
      <c r="A121" s="5" t="inlineStr">
        <is>
          <t>Bridge</t>
        </is>
      </c>
      <c r="B121" s="5" t="inlineStr">
        <is>
          <t>2024Q3-2025Q3 Vimeo Enterprise price</t>
        </is>
      </c>
      <c r="D121" s="52" t="n">
        <v>1.560002452279363</v>
      </c>
      <c r="E121" s="53">
        <f>Bridge!G21</f>
        <v/>
      </c>
      <c r="F121" s="54">
        <f>IF(AND(ISNUMBER(D121),ISNUMBER(E121)),E121-D121,"")</f>
        <v/>
      </c>
      <c r="G121" s="5">
        <f>IF(AND(D121="",E121=""),"Yes",IF(AND(ISNUMBER(D121),ISNUMBER(E121)),IF(ABS(E121-D121)&lt;=1E-6*MAX(1,ABS(D121)),"Yes","No"),IF(D121=E121,"Yes","No")))</f>
        <v/>
      </c>
    </row>
    <row r="122">
      <c r="A122" s="5" t="inlineStr">
        <is>
          <t>Bridge</t>
        </is>
      </c>
      <c r="B122" s="5" t="inlineStr">
        <is>
          <t>2024Q3-2025Q3 Vimeo Enterprise change</t>
        </is>
      </c>
      <c r="D122" s="52" t="n">
        <v>3.827999999999999</v>
      </c>
      <c r="E122" s="53">
        <f>Bridge!I21</f>
        <v/>
      </c>
      <c r="F122" s="54">
        <f>IF(AND(ISNUMBER(D122),ISNUMBER(E122)),E122-D122,"")</f>
        <v/>
      </c>
      <c r="G122" s="5">
        <f>IF(AND(D122="",E122=""),"Yes",IF(AND(ISNUMBER(D122),ISNUMBER(E122)),IF(ABS(E122-D122)&lt;=1E-6*MAX(1,ABS(D122)),"Yes","No"),IF(D122=E122,"Yes","No")))</f>
        <v/>
      </c>
    </row>
    <row r="123">
      <c r="A123" s="5" t="inlineStr">
        <is>
          <t>Bridge</t>
        </is>
      </c>
      <c r="B123" s="5" t="inlineStr">
        <is>
          <t>2024Q3-2025Q3 OTT volume</t>
        </is>
      </c>
      <c r="D123" s="52" t="n">
        <v>0.3977209446814884</v>
      </c>
      <c r="E123" s="53">
        <f>Bridge!F22</f>
        <v/>
      </c>
      <c r="F123" s="54">
        <f>IF(AND(ISNUMBER(D123),ISNUMBER(E123)),E123-D123,"")</f>
        <v/>
      </c>
      <c r="G123" s="5">
        <f>IF(AND(D123="",E123=""),"Yes",IF(AND(ISNUMBER(D123),ISNUMBER(E123)),IF(ABS(E123-D123)&lt;=1E-6*MAX(1,ABS(D123)),"Yes","No"),IF(D123=E123,"Yes","No")))</f>
        <v/>
      </c>
    </row>
    <row r="124">
      <c r="A124" s="5" t="inlineStr">
        <is>
          <t>Bridge</t>
        </is>
      </c>
      <c r="B124" s="5" t="inlineStr">
        <is>
          <t>2024Q3-2025Q3 OTT price</t>
        </is>
      </c>
      <c r="D124" s="52" t="n">
        <v>-0.8289557077625561</v>
      </c>
      <c r="E124" s="53">
        <f>Bridge!G22</f>
        <v/>
      </c>
      <c r="F124" s="54">
        <f>IF(AND(ISNUMBER(D124),ISNUMBER(E124)),E124-D124,"")</f>
        <v/>
      </c>
      <c r="G124" s="5">
        <f>IF(AND(D124="",E124=""),"Yes",IF(AND(ISNUMBER(D124),ISNUMBER(E124)),IF(ABS(E124-D124)&lt;=1E-6*MAX(1,ABS(D124)),"Yes","No"),IF(D124=E124,"Yes","No")))</f>
        <v/>
      </c>
    </row>
    <row r="125">
      <c r="A125" s="5" t="inlineStr">
        <is>
          <t>Bridge</t>
        </is>
      </c>
      <c r="B125" s="5" t="inlineStr">
        <is>
          <t>2024Q3-2025Q3 OTT change</t>
        </is>
      </c>
      <c r="D125" s="52" t="n">
        <v>-0.4770000000000003</v>
      </c>
      <c r="E125" s="53">
        <f>Bridge!I22</f>
        <v/>
      </c>
      <c r="F125" s="54">
        <f>IF(AND(ISNUMBER(D125),ISNUMBER(E125)),E125-D125,"")</f>
        <v/>
      </c>
      <c r="G125" s="5">
        <f>IF(AND(D125="",E125=""),"Yes",IF(AND(ISNUMBER(D125),ISNUMBER(E125)),IF(ABS(E125-D125)&lt;=1E-6*MAX(1,ABS(D125)),"Yes","No"),IF(D125=E125,"Yes","No")))</f>
        <v/>
      </c>
    </row>
    <row r="126">
      <c r="A126" s="5" t="inlineStr">
        <is>
          <t>Business case</t>
        </is>
      </c>
      <c r="B126" s="5" t="inlineStr">
        <is>
          <t>Self-Serve subscribers</t>
        </is>
      </c>
      <c r="D126" s="52" t="n">
        <v>1127900</v>
      </c>
      <c r="E126" s="53">
        <f>'Business case'!B5</f>
        <v/>
      </c>
      <c r="F126" s="54">
        <f>IF(AND(ISNUMBER(D126),ISNUMBER(E126)),E126-D126,"")</f>
        <v/>
      </c>
      <c r="G126" s="5">
        <f>IF(AND(D126="",E126=""),"Yes",IF(AND(ISNUMBER(D126),ISNUMBER(E126)),IF(ABS(E126-D126)&lt;=1E-6*MAX(1,ABS(D126)),"Yes","No"),IF(D126=E126,"Yes","No")))</f>
        <v/>
      </c>
    </row>
    <row r="127">
      <c r="A127" s="5" t="inlineStr">
        <is>
          <t>Business case</t>
        </is>
      </c>
      <c r="B127" s="5" t="inlineStr">
        <is>
          <t>Self-Serve ARPU</t>
        </is>
      </c>
      <c r="D127" s="52" t="n">
        <v>204</v>
      </c>
      <c r="E127" s="53">
        <f>'Business case'!B6</f>
        <v/>
      </c>
      <c r="F127" s="54">
        <f>IF(AND(ISNUMBER(D127),ISNUMBER(E127)),E127-D127,"")</f>
        <v/>
      </c>
      <c r="G127" s="5">
        <f>IF(AND(D127="",E127=""),"Yes",IF(AND(ISNUMBER(D127),ISNUMBER(E127)),IF(ABS(E127-D127)&lt;=1E-6*MAX(1,ABS(D127)),"Yes","No"),IF(D127=E127,"Yes","No")))</f>
        <v/>
      </c>
    </row>
    <row r="128">
      <c r="A128" s="5" t="inlineStr">
        <is>
          <t>Business case</t>
        </is>
      </c>
      <c r="B128" s="5" t="inlineStr">
        <is>
          <t>Enterprise ARPU</t>
        </is>
      </c>
      <c r="D128" s="52" t="n">
        <v>24567</v>
      </c>
      <c r="E128" s="53">
        <f>'Business case'!B7</f>
        <v/>
      </c>
      <c r="F128" s="54">
        <f>IF(AND(ISNUMBER(D128),ISNUMBER(E128)),E128-D128,"")</f>
        <v/>
      </c>
      <c r="G128" s="5">
        <f>IF(AND(D128="",E128=""),"Yes",IF(AND(ISNUMBER(D128),ISNUMBER(E128)),IF(ABS(E128-D128)&lt;=1E-6*MAX(1,ABS(D128)),"Yes","No"),IF(D128=E128,"Yes","No")))</f>
        <v/>
      </c>
    </row>
    <row r="129">
      <c r="A129" s="5" t="inlineStr">
        <is>
          <t>Business case</t>
        </is>
      </c>
      <c r="B129" s="5" t="inlineStr">
        <is>
          <t>Eligible accounts</t>
        </is>
      </c>
      <c r="D129" s="52" t="n">
        <v>22558</v>
      </c>
      <c r="E129" s="53">
        <f>'Business case'!B10</f>
        <v/>
      </c>
      <c r="F129" s="54">
        <f>IF(AND(ISNUMBER(D129),ISNUMBER(E129)),E129-D129,"")</f>
        <v/>
      </c>
      <c r="G129" s="5">
        <f>IF(AND(D129="",E129=""),"Yes",IF(AND(ISNUMBER(D129),ISNUMBER(E129)),IF(ABS(E129-D129)&lt;=1E-6*MAX(1,ABS(D129)),"Yes","No"),IF(D129=E129,"Yes","No")))</f>
        <v/>
      </c>
    </row>
    <row r="130">
      <c r="A130" s="5" t="inlineStr">
        <is>
          <t>Business case</t>
        </is>
      </c>
      <c r="B130" s="5" t="inlineStr">
        <is>
          <t>Upgrades per year</t>
        </is>
      </c>
      <c r="D130" s="52" t="n">
        <v>225.58</v>
      </c>
      <c r="E130" s="53">
        <f>'Business case'!B11</f>
        <v/>
      </c>
      <c r="F130" s="54">
        <f>IF(AND(ISNUMBER(D130),ISNUMBER(E130)),E130-D130,"")</f>
        <v/>
      </c>
      <c r="G130" s="5">
        <f>IF(AND(D130="",E130=""),"Yes",IF(AND(ISNUMBER(D130),ISNUMBER(E130)),IF(ABS(E130-D130)&lt;=1E-6*MAX(1,ABS(D130)),"Yes","No"),IF(D130=E130,"Yes","No")))</f>
        <v/>
      </c>
    </row>
    <row r="131">
      <c r="A131" s="5" t="inlineStr">
        <is>
          <t>Business case</t>
        </is>
      </c>
      <c r="B131" s="5" t="inlineStr">
        <is>
          <t>First-year contract value</t>
        </is>
      </c>
      <c r="D131" s="52" t="n">
        <v>12283.5</v>
      </c>
      <c r="E131" s="53">
        <f>'Business case'!B12</f>
        <v/>
      </c>
      <c r="F131" s="54">
        <f>IF(AND(ISNUMBER(D131),ISNUMBER(E131)),E131-D131,"")</f>
        <v/>
      </c>
      <c r="G131" s="5">
        <f>IF(AND(D131="",E131=""),"Yes",IF(AND(ISNUMBER(D131),ISNUMBER(E131)),IF(ABS(E131-D131)&lt;=1E-6*MAX(1,ABS(D131)),"Yes","No"),IF(D131=E131,"Yes","No")))</f>
        <v/>
      </c>
    </row>
    <row r="132">
      <c r="A132" s="5" t="inlineStr">
        <is>
          <t>Business case</t>
        </is>
      </c>
      <c r="B132" s="5" t="inlineStr">
        <is>
          <t>Year 1 enterprise_revenue</t>
        </is>
      </c>
      <c r="D132" s="52" t="n">
        <v>1385455.965</v>
      </c>
      <c r="E132" s="53">
        <f>'Business case'!B18</f>
        <v/>
      </c>
      <c r="F132" s="54">
        <f>IF(AND(ISNUMBER(D132),ISNUMBER(E132)),E132-D132,"")</f>
        <v/>
      </c>
      <c r="G132" s="5">
        <f>IF(AND(D132="",E132=""),"Yes",IF(AND(ISNUMBER(D132),ISNUMBER(E132)),IF(ABS(E132-D132)&lt;=1E-6*MAX(1,ABS(D132)),"Yes","No"),IF(D132=E132,"Yes","No")))</f>
        <v/>
      </c>
    </row>
    <row r="133">
      <c r="A133" s="5" t="inlineStr">
        <is>
          <t>Business case</t>
        </is>
      </c>
      <c r="B133" s="5" t="inlineStr">
        <is>
          <t>Year 1 cannibalised</t>
        </is>
      </c>
      <c r="D133" s="52" t="n">
        <v>23009.16</v>
      </c>
      <c r="E133" s="53">
        <f>'Business case'!B19</f>
        <v/>
      </c>
      <c r="F133" s="54">
        <f>IF(AND(ISNUMBER(D133),ISNUMBER(E133)),E133-D133,"")</f>
        <v/>
      </c>
      <c r="G133" s="5">
        <f>IF(AND(D133="",E133=""),"Yes",IF(AND(ISNUMBER(D133),ISNUMBER(E133)),IF(ABS(E133-D133)&lt;=1E-6*MAX(1,ABS(D133)),"Yes","No"),IF(D133=E133,"Yes","No")))</f>
        <v/>
      </c>
    </row>
    <row r="134">
      <c r="A134" s="5" t="inlineStr">
        <is>
          <t>Business case</t>
        </is>
      </c>
      <c r="B134" s="5" t="inlineStr">
        <is>
          <t>Year 1 net_revenue</t>
        </is>
      </c>
      <c r="D134" s="52" t="n">
        <v>1362446.805</v>
      </c>
      <c r="E134" s="53">
        <f>'Business case'!B20</f>
        <v/>
      </c>
      <c r="F134" s="54">
        <f>IF(AND(ISNUMBER(D134),ISNUMBER(E134)),E134-D134,"")</f>
        <v/>
      </c>
      <c r="G134" s="5">
        <f>IF(AND(D134="",E134=""),"Yes",IF(AND(ISNUMBER(D134),ISNUMBER(E134)),IF(ABS(E134-D134)&lt;=1E-6*MAX(1,ABS(D134)),"Yes","No"),IF(D134=E134,"Yes","No")))</f>
        <v/>
      </c>
    </row>
    <row r="135">
      <c r="A135" s="5" t="inlineStr">
        <is>
          <t>Business case</t>
        </is>
      </c>
      <c r="B135" s="5" t="inlineStr">
        <is>
          <t>Year 1 gross_profit</t>
        </is>
      </c>
      <c r="D135" s="52" t="n">
        <v>1062708.5079</v>
      </c>
      <c r="E135" s="53">
        <f>'Business case'!B21</f>
        <v/>
      </c>
      <c r="F135" s="54">
        <f>IF(AND(ISNUMBER(D135),ISNUMBER(E135)),E135-D135,"")</f>
        <v/>
      </c>
      <c r="G135" s="5">
        <f>IF(AND(D135="",E135=""),"Yes",IF(AND(ISNUMBER(D135),ISNUMBER(E135)),IF(ABS(E135-D135)&lt;=1E-6*MAX(1,ABS(D135)),"Yes","No"),IF(D135=E135,"Yes","No")))</f>
        <v/>
      </c>
    </row>
    <row r="136">
      <c r="A136" s="5" t="inlineStr">
        <is>
          <t>Business case</t>
        </is>
      </c>
      <c r="B136" s="5" t="inlineStr">
        <is>
          <t>Year 1 sales_cost</t>
        </is>
      </c>
      <c r="D136" s="52" t="n">
        <v>1080000</v>
      </c>
      <c r="E136" s="53">
        <f>'Business case'!B22</f>
        <v/>
      </c>
      <c r="F136" s="54">
        <f>IF(AND(ISNUMBER(D136),ISNUMBER(E136)),E136-D136,"")</f>
        <v/>
      </c>
      <c r="G136" s="5">
        <f>IF(AND(D136="",E136=""),"Yes",IF(AND(ISNUMBER(D136),ISNUMBER(E136)),IF(ABS(E136-D136)&lt;=1E-6*MAX(1,ABS(D136)),"Yes","No"),IF(D136=E136,"Yes","No")))</f>
        <v/>
      </c>
    </row>
    <row r="137">
      <c r="A137" s="5" t="inlineStr">
        <is>
          <t>Business case</t>
        </is>
      </c>
      <c r="B137" s="5" t="inlineStr">
        <is>
          <t>Year 1 outreach_cost</t>
        </is>
      </c>
      <c r="D137" s="52" t="n">
        <v>676740</v>
      </c>
      <c r="E137" s="53">
        <f>'Business case'!B23</f>
        <v/>
      </c>
      <c r="F137" s="54">
        <f>IF(AND(ISNUMBER(D137),ISNUMBER(E137)),E137-D137,"")</f>
        <v/>
      </c>
      <c r="G137" s="5">
        <f>IF(AND(D137="",E137=""),"Yes",IF(AND(ISNUMBER(D137),ISNUMBER(E137)),IF(ABS(E137-D137)&lt;=1E-6*MAX(1,ABS(D137)),"Yes","No"),IF(D137=E137,"Yes","No")))</f>
        <v/>
      </c>
    </row>
    <row r="138">
      <c r="A138" s="5" t="inlineStr">
        <is>
          <t>Business case</t>
        </is>
      </c>
      <c r="B138" s="5" t="inlineStr">
        <is>
          <t>Year 1 contribution</t>
        </is>
      </c>
      <c r="D138" s="52" t="n">
        <v>-1094031.4921</v>
      </c>
      <c r="E138" s="53">
        <f>'Business case'!B25</f>
        <v/>
      </c>
      <c r="F138" s="54">
        <f>IF(AND(ISNUMBER(D138),ISNUMBER(E138)),E138-D138,"")</f>
        <v/>
      </c>
      <c r="G138" s="5">
        <f>IF(AND(D138="",E138=""),"Yes",IF(AND(ISNUMBER(D138),ISNUMBER(E138)),IF(ABS(E138-D138)&lt;=1E-6*MAX(1,ABS(D138)),"Yes","No"),IF(D138=E138,"Yes","No")))</f>
        <v/>
      </c>
    </row>
    <row r="139">
      <c r="A139" s="5" t="inlineStr">
        <is>
          <t>Business case</t>
        </is>
      </c>
      <c r="B139" s="5" t="inlineStr">
        <is>
          <t>Year 1 present_value</t>
        </is>
      </c>
      <c r="D139" s="52" t="n">
        <v>-994574.0837272726</v>
      </c>
      <c r="E139" s="53">
        <f>'Business case'!B28</f>
        <v/>
      </c>
      <c r="F139" s="54">
        <f>IF(AND(ISNUMBER(D139),ISNUMBER(E139)),E139-D139,"")</f>
        <v/>
      </c>
      <c r="G139" s="5">
        <f>IF(AND(D139="",E139=""),"Yes",IF(AND(ISNUMBER(D139),ISNUMBER(E139)),IF(ABS(E139-D139)&lt;=1E-6*MAX(1,ABS(D139)),"Yes","No"),IF(D139=E139,"Yes","No")))</f>
        <v/>
      </c>
    </row>
    <row r="140">
      <c r="A140" s="5" t="inlineStr">
        <is>
          <t>Business case</t>
        </is>
      </c>
      <c r="B140" s="5" t="inlineStr">
        <is>
          <t>Year 2 enterprise_revenue</t>
        </is>
      </c>
      <c r="D140" s="52" t="n">
        <v>3879276.702</v>
      </c>
      <c r="E140" s="53">
        <f>'Business case'!C18</f>
        <v/>
      </c>
      <c r="F140" s="54">
        <f>IF(AND(ISNUMBER(D140),ISNUMBER(E140)),E140-D140,"")</f>
        <v/>
      </c>
      <c r="G140" s="5">
        <f>IF(AND(D140="",E140=""),"Yes",IF(AND(ISNUMBER(D140),ISNUMBER(E140)),IF(ABS(E140-D140)&lt;=1E-6*MAX(1,ABS(D140)),"Yes","No"),IF(D140=E140,"Yes","No")))</f>
        <v/>
      </c>
    </row>
    <row r="141">
      <c r="A141" s="5" t="inlineStr">
        <is>
          <t>Business case</t>
        </is>
      </c>
      <c r="B141" s="5" t="inlineStr">
        <is>
          <t>Year 2 cannibalised</t>
        </is>
      </c>
      <c r="D141" s="52" t="n">
        <v>69027.48</v>
      </c>
      <c r="E141" s="53">
        <f>'Business case'!C19</f>
        <v/>
      </c>
      <c r="F141" s="54">
        <f>IF(AND(ISNUMBER(D141),ISNUMBER(E141)),E141-D141,"")</f>
        <v/>
      </c>
      <c r="G141" s="5">
        <f>IF(AND(D141="",E141=""),"Yes",IF(AND(ISNUMBER(D141),ISNUMBER(E141)),IF(ABS(E141-D141)&lt;=1E-6*MAX(1,ABS(D141)),"Yes","No"),IF(D141=E141,"Yes","No")))</f>
        <v/>
      </c>
    </row>
    <row r="142">
      <c r="A142" s="5" t="inlineStr">
        <is>
          <t>Business case</t>
        </is>
      </c>
      <c r="B142" s="5" t="inlineStr">
        <is>
          <t>Year 2 net_revenue</t>
        </is>
      </c>
      <c r="D142" s="52" t="n">
        <v>3810249.222</v>
      </c>
      <c r="E142" s="53">
        <f>'Business case'!C20</f>
        <v/>
      </c>
      <c r="F142" s="54">
        <f>IF(AND(ISNUMBER(D142),ISNUMBER(E142)),E142-D142,"")</f>
        <v/>
      </c>
      <c r="G142" s="5">
        <f>IF(AND(D142="",E142=""),"Yes",IF(AND(ISNUMBER(D142),ISNUMBER(E142)),IF(ABS(E142-D142)&lt;=1E-6*MAX(1,ABS(D142)),"Yes","No"),IF(D142=E142,"Yes","No")))</f>
        <v/>
      </c>
    </row>
    <row r="143">
      <c r="A143" s="5" t="inlineStr">
        <is>
          <t>Business case</t>
        </is>
      </c>
      <c r="B143" s="5" t="inlineStr">
        <is>
          <t>Year 2 gross_profit</t>
        </is>
      </c>
      <c r="D143" s="52" t="n">
        <v>2971994.39316</v>
      </c>
      <c r="E143" s="53">
        <f>'Business case'!C21</f>
        <v/>
      </c>
      <c r="F143" s="54">
        <f>IF(AND(ISNUMBER(D143),ISNUMBER(E143)),E143-D143,"")</f>
        <v/>
      </c>
      <c r="G143" s="5">
        <f>IF(AND(D143="",E143=""),"Yes",IF(AND(ISNUMBER(D143),ISNUMBER(E143)),IF(ABS(E143-D143)&lt;=1E-6*MAX(1,ABS(D143)),"Yes","No"),IF(D143=E143,"Yes","No")))</f>
        <v/>
      </c>
    </row>
    <row r="144">
      <c r="A144" s="5" t="inlineStr">
        <is>
          <t>Business case</t>
        </is>
      </c>
      <c r="B144" s="5" t="inlineStr">
        <is>
          <t>Year 2 sales_cost</t>
        </is>
      </c>
      <c r="D144" s="52" t="n">
        <v>1080000</v>
      </c>
      <c r="E144" s="53">
        <f>'Business case'!C22</f>
        <v/>
      </c>
      <c r="F144" s="54">
        <f>IF(AND(ISNUMBER(D144),ISNUMBER(E144)),E144-D144,"")</f>
        <v/>
      </c>
      <c r="G144" s="5">
        <f>IF(AND(D144="",E144=""),"Yes",IF(AND(ISNUMBER(D144),ISNUMBER(E144)),IF(ABS(E144-D144)&lt;=1E-6*MAX(1,ABS(D144)),"Yes","No"),IF(D144=E144,"Yes","No")))</f>
        <v/>
      </c>
    </row>
    <row r="145">
      <c r="A145" s="5" t="inlineStr">
        <is>
          <t>Business case</t>
        </is>
      </c>
      <c r="B145" s="5" t="inlineStr">
        <is>
          <t>Year 2 outreach_cost</t>
        </is>
      </c>
      <c r="D145" s="52" t="n">
        <v>676740</v>
      </c>
      <c r="E145" s="53">
        <f>'Business case'!C23</f>
        <v/>
      </c>
      <c r="F145" s="54">
        <f>IF(AND(ISNUMBER(D145),ISNUMBER(E145)),E145-D145,"")</f>
        <v/>
      </c>
      <c r="G145" s="5">
        <f>IF(AND(D145="",E145=""),"Yes",IF(AND(ISNUMBER(D145),ISNUMBER(E145)),IF(ABS(E145-D145)&lt;=1E-6*MAX(1,ABS(D145)),"Yes","No"),IF(D145=E145,"Yes","No")))</f>
        <v/>
      </c>
    </row>
    <row r="146">
      <c r="A146" s="5" t="inlineStr">
        <is>
          <t>Business case</t>
        </is>
      </c>
      <c r="B146" s="5" t="inlineStr">
        <is>
          <t>Year 2 contribution</t>
        </is>
      </c>
      <c r="D146" s="52" t="n">
        <v>1215254.39316</v>
      </c>
      <c r="E146" s="53">
        <f>'Business case'!C25</f>
        <v/>
      </c>
      <c r="F146" s="54">
        <f>IF(AND(ISNUMBER(D146),ISNUMBER(E146)),E146-D146,"")</f>
        <v/>
      </c>
      <c r="G146" s="5">
        <f>IF(AND(D146="",E146=""),"Yes",IF(AND(ISNUMBER(D146),ISNUMBER(E146)),IF(ABS(E146-D146)&lt;=1E-6*MAX(1,ABS(D146)),"Yes","No"),IF(D146=E146,"Yes","No")))</f>
        <v/>
      </c>
    </row>
    <row r="147">
      <c r="A147" s="5" t="inlineStr">
        <is>
          <t>Business case</t>
        </is>
      </c>
      <c r="B147" s="5" t="inlineStr">
        <is>
          <t>Year 2 present_value</t>
        </is>
      </c>
      <c r="D147" s="52" t="n">
        <v>1004342.47368595</v>
      </c>
      <c r="E147" s="53">
        <f>'Business case'!C28</f>
        <v/>
      </c>
      <c r="F147" s="54">
        <f>IF(AND(ISNUMBER(D147),ISNUMBER(E147)),E147-D147,"")</f>
        <v/>
      </c>
      <c r="G147" s="5">
        <f>IF(AND(D147="",E147=""),"Yes",IF(AND(ISNUMBER(D147),ISNUMBER(E147)),IF(ABS(E147-D147)&lt;=1E-6*MAX(1,ABS(D147)),"Yes","No"),IF(D147=E147,"Yes","No")))</f>
        <v/>
      </c>
    </row>
    <row r="148">
      <c r="A148" s="5" t="inlineStr">
        <is>
          <t>Business case</t>
        </is>
      </c>
      <c r="B148" s="5" t="inlineStr">
        <is>
          <t>Year 3 enterprise_revenue</t>
        </is>
      </c>
      <c r="D148" s="52" t="n">
        <v>6123715.365300001</v>
      </c>
      <c r="E148" s="53">
        <f>'Business case'!D18</f>
        <v/>
      </c>
      <c r="F148" s="54">
        <f>IF(AND(ISNUMBER(D148),ISNUMBER(E148)),E148-D148,"")</f>
        <v/>
      </c>
      <c r="G148" s="5">
        <f>IF(AND(D148="",E148=""),"Yes",IF(AND(ISNUMBER(D148),ISNUMBER(E148)),IF(ABS(E148-D148)&lt;=1E-6*MAX(1,ABS(D148)),"Yes","No"),IF(D148=E148,"Yes","No")))</f>
        <v/>
      </c>
    </row>
    <row r="149">
      <c r="A149" s="5" t="inlineStr">
        <is>
          <t>Business case</t>
        </is>
      </c>
      <c r="B149" s="5" t="inlineStr">
        <is>
          <t>Year 3 cannibalised</t>
        </is>
      </c>
      <c r="D149" s="52" t="n">
        <v>115045.8</v>
      </c>
      <c r="E149" s="53">
        <f>'Business case'!D19</f>
        <v/>
      </c>
      <c r="F149" s="54">
        <f>IF(AND(ISNUMBER(D149),ISNUMBER(E149)),E149-D149,"")</f>
        <v/>
      </c>
      <c r="G149" s="5">
        <f>IF(AND(D149="",E149=""),"Yes",IF(AND(ISNUMBER(D149),ISNUMBER(E149)),IF(ABS(E149-D149)&lt;=1E-6*MAX(1,ABS(D149)),"Yes","No"),IF(D149=E149,"Yes","No")))</f>
        <v/>
      </c>
    </row>
    <row r="150">
      <c r="A150" s="5" t="inlineStr">
        <is>
          <t>Business case</t>
        </is>
      </c>
      <c r="B150" s="5" t="inlineStr">
        <is>
          <t>Year 3 net_revenue</t>
        </is>
      </c>
      <c r="D150" s="52" t="n">
        <v>6008669.565300001</v>
      </c>
      <c r="E150" s="53">
        <f>'Business case'!D20</f>
        <v/>
      </c>
      <c r="F150" s="54">
        <f>IF(AND(ISNUMBER(D150),ISNUMBER(E150)),E150-D150,"")</f>
        <v/>
      </c>
      <c r="G150" s="5">
        <f>IF(AND(D150="",E150=""),"Yes",IF(AND(ISNUMBER(D150),ISNUMBER(E150)),IF(ABS(E150-D150)&lt;=1E-6*MAX(1,ABS(D150)),"Yes","No"),IF(D150=E150,"Yes","No")))</f>
        <v/>
      </c>
    </row>
    <row r="151">
      <c r="A151" s="5" t="inlineStr">
        <is>
          <t>Business case</t>
        </is>
      </c>
      <c r="B151" s="5" t="inlineStr">
        <is>
          <t>Year 3 gross_profit</t>
        </is>
      </c>
      <c r="D151" s="52" t="n">
        <v>4686762.260934001</v>
      </c>
      <c r="E151" s="53">
        <f>'Business case'!D21</f>
        <v/>
      </c>
      <c r="F151" s="54">
        <f>IF(AND(ISNUMBER(D151),ISNUMBER(E151)),E151-D151,"")</f>
        <v/>
      </c>
      <c r="G151" s="5">
        <f>IF(AND(D151="",E151=""),"Yes",IF(AND(ISNUMBER(D151),ISNUMBER(E151)),IF(ABS(E151-D151)&lt;=1E-6*MAX(1,ABS(D151)),"Yes","No"),IF(D151=E151,"Yes","No")))</f>
        <v/>
      </c>
    </row>
    <row r="152">
      <c r="A152" s="5" t="inlineStr">
        <is>
          <t>Business case</t>
        </is>
      </c>
      <c r="B152" s="5" t="inlineStr">
        <is>
          <t>Year 3 sales_cost</t>
        </is>
      </c>
      <c r="D152" s="52" t="n">
        <v>1080000</v>
      </c>
      <c r="E152" s="53">
        <f>'Business case'!D22</f>
        <v/>
      </c>
      <c r="F152" s="54">
        <f>IF(AND(ISNUMBER(D152),ISNUMBER(E152)),E152-D152,"")</f>
        <v/>
      </c>
      <c r="G152" s="5">
        <f>IF(AND(D152="",E152=""),"Yes",IF(AND(ISNUMBER(D152),ISNUMBER(E152)),IF(ABS(E152-D152)&lt;=1E-6*MAX(1,ABS(D152)),"Yes","No"),IF(D152=E152,"Yes","No")))</f>
        <v/>
      </c>
    </row>
    <row r="153">
      <c r="A153" s="5" t="inlineStr">
        <is>
          <t>Business case</t>
        </is>
      </c>
      <c r="B153" s="5" t="inlineStr">
        <is>
          <t>Year 3 outreach_cost</t>
        </is>
      </c>
      <c r="D153" s="52" t="n">
        <v>676740</v>
      </c>
      <c r="E153" s="53">
        <f>'Business case'!D23</f>
        <v/>
      </c>
      <c r="F153" s="54">
        <f>IF(AND(ISNUMBER(D153),ISNUMBER(E153)),E153-D153,"")</f>
        <v/>
      </c>
      <c r="G153" s="5">
        <f>IF(AND(D153="",E153=""),"Yes",IF(AND(ISNUMBER(D153),ISNUMBER(E153)),IF(ABS(E153-D153)&lt;=1E-6*MAX(1,ABS(D153)),"Yes","No"),IF(D153=E153,"Yes","No")))</f>
        <v/>
      </c>
    </row>
    <row r="154">
      <c r="A154" s="5" t="inlineStr">
        <is>
          <t>Business case</t>
        </is>
      </c>
      <c r="B154" s="5" t="inlineStr">
        <is>
          <t>Year 3 contribution</t>
        </is>
      </c>
      <c r="D154" s="52" t="n">
        <v>2930022.260934001</v>
      </c>
      <c r="E154" s="53">
        <f>'Business case'!D25</f>
        <v/>
      </c>
      <c r="F154" s="54">
        <f>IF(AND(ISNUMBER(D154),ISNUMBER(E154)),E154-D154,"")</f>
        <v/>
      </c>
      <c r="G154" s="5">
        <f>IF(AND(D154="",E154=""),"Yes",IF(AND(ISNUMBER(D154),ISNUMBER(E154)),IF(ABS(E154-D154)&lt;=1E-6*MAX(1,ABS(D154)),"Yes","No"),IF(D154=E154,"Yes","No")))</f>
        <v/>
      </c>
    </row>
    <row r="155">
      <c r="A155" s="5" t="inlineStr">
        <is>
          <t>Business case</t>
        </is>
      </c>
      <c r="B155" s="5" t="inlineStr">
        <is>
          <t>Year 3 present_value</t>
        </is>
      </c>
      <c r="D155" s="52" t="n">
        <v>2201369.091610819</v>
      </c>
      <c r="E155" s="53">
        <f>'Business case'!D28</f>
        <v/>
      </c>
      <c r="F155" s="54">
        <f>IF(AND(ISNUMBER(D155),ISNUMBER(E155)),E155-D155,"")</f>
        <v/>
      </c>
      <c r="G155" s="5">
        <f>IF(AND(D155="",E155=""),"Yes",IF(AND(ISNUMBER(D155),ISNUMBER(E155)),IF(ABS(E155-D155)&lt;=1E-6*MAX(1,ABS(D155)),"Yes","No"),IF(D155=E155,"Yes","No")))</f>
        <v/>
      </c>
    </row>
    <row r="156">
      <c r="A156" s="5" t="inlineStr">
        <is>
          <t>Business case</t>
        </is>
      </c>
      <c r="B156" s="5" t="inlineStr">
        <is>
          <t>Net present value</t>
        </is>
      </c>
      <c r="D156" s="52" t="n">
        <v>2211137.481569497</v>
      </c>
      <c r="E156" s="53">
        <f>'Business case'!B30</f>
        <v/>
      </c>
      <c r="F156" s="54">
        <f>IF(AND(ISNUMBER(D156),ISNUMBER(E156)),E156-D156,"")</f>
        <v/>
      </c>
      <c r="G156" s="5">
        <f>IF(AND(D156="",E156=""),"Yes",IF(AND(ISNUMBER(D156),ISNUMBER(E156)),IF(ABS(E156-D156)&lt;=1E-6*MAX(1,ABS(D156)),"Yes","No"),IF(D156=E156,"Yes","No")))</f>
        <v/>
      </c>
    </row>
    <row r="157">
      <c r="A157" s="5" t="inlineStr">
        <is>
          <t>Business case</t>
        </is>
      </c>
      <c r="B157" s="5" t="inlineStr">
        <is>
          <t>Payback year</t>
        </is>
      </c>
      <c r="D157" s="4" t="n">
        <v>2</v>
      </c>
      <c r="E157" s="6">
        <f>'Business case'!B31</f>
        <v/>
      </c>
      <c r="F157" s="54">
        <f>IF(AND(ISNUMBER(D157),ISNUMBER(E157)),E157-D157,"")</f>
        <v/>
      </c>
      <c r="G157" s="5">
        <f>IF(AND(D157="",E157=""),"Yes",IF(AND(ISNUMBER(D157),ISNUMBER(E157)),IF(ABS(E157-D157)&lt;=1E-6*MAX(1,ABS(D157)),"Yes","No"),IF(D157=E157,"Yes","No")))</f>
        <v/>
      </c>
    </row>
    <row r="158">
      <c r="A158" s="5" t="inlineStr">
        <is>
          <t>Business case</t>
        </is>
      </c>
      <c r="B158" s="5" t="inlineStr">
        <is>
          <t>Break-even uplift (closed form vs bisection)</t>
        </is>
      </c>
      <c r="D158" s="52" t="n">
        <v>0.006815540959870341</v>
      </c>
      <c r="E158" s="53">
        <f>'Business case'!B37</f>
        <v/>
      </c>
      <c r="F158" s="54">
        <f>IF(AND(ISNUMBER(D158),ISNUMBER(E158)),E158-D158,"")</f>
        <v/>
      </c>
      <c r="G158" s="5">
        <f>IF(AND(D158="",E158=""),"Yes",IF(AND(ISNUMBER(D158),ISNUMBER(E158)),IF(ABS(E158-D158)&lt;=1E-6*MAX(1,ABS(D158)),"Yes","No"),IF(D158=E158,"Yes","No")))</f>
        <v/>
      </c>
    </row>
    <row r="159">
      <c r="A159" s="5" t="inlineStr">
        <is>
          <t>Sensitivity</t>
        </is>
      </c>
      <c r="B159" s="5" t="inlineStr">
        <is>
          <t>uplift low</t>
        </is>
      </c>
      <c r="D159" s="52" t="n">
        <v>-1954978.245538994</v>
      </c>
      <c r="E159" s="53">
        <f>Sensitivity!T5</f>
        <v/>
      </c>
      <c r="F159" s="54">
        <f>IF(AND(ISNUMBER(D159),ISNUMBER(E159)),E159-D159,"")</f>
        <v/>
      </c>
      <c r="G159" s="5">
        <f>IF(AND(D159="",E159=""),"Yes",IF(AND(ISNUMBER(D159),ISNUMBER(E159)),IF(ABS(E159-D159)&lt;=1E-6*MAX(1,ABS(D159)),"Yes","No"),IF(D159=E159,"Yes","No")))</f>
        <v/>
      </c>
    </row>
    <row r="160">
      <c r="A160" s="5" t="inlineStr">
        <is>
          <t>Sensitivity</t>
        </is>
      </c>
      <c r="B160" s="5" t="inlineStr">
        <is>
          <t>uplift high</t>
        </is>
      </c>
      <c r="D160" s="52" t="n">
        <v>9154663.693416979</v>
      </c>
      <c r="E160" s="53">
        <f>Sensitivity!T6</f>
        <v/>
      </c>
      <c r="F160" s="54">
        <f>IF(AND(ISNUMBER(D160),ISNUMBER(E160)),E160-D160,"")</f>
        <v/>
      </c>
      <c r="G160" s="5">
        <f>IF(AND(D160="",E160=""),"Yes",IF(AND(ISNUMBER(D160),ISNUMBER(E160)),IF(ABS(E160-D160)&lt;=1E-6*MAX(1,ABS(D160)),"Yes","No"),IF(D160=E160,"Yes","No")))</f>
        <v/>
      </c>
    </row>
    <row r="161">
      <c r="A161" s="5" t="inlineStr">
        <is>
          <t>Sensitivity</t>
        </is>
      </c>
      <c r="B161" s="5" t="inlineStr">
        <is>
          <t>entry_acv_share low</t>
        </is>
      </c>
      <c r="D161" s="52" t="n">
        <v>-617565.9699758076</v>
      </c>
      <c r="E161" s="53">
        <f>Sensitivity!T7</f>
        <v/>
      </c>
      <c r="F161" s="54">
        <f>IF(AND(ISNUMBER(D161),ISNUMBER(E161)),E161-D161,"")</f>
        <v/>
      </c>
      <c r="G161" s="5">
        <f>IF(AND(D161="",E161=""),"Yes",IF(AND(ISNUMBER(D161),ISNUMBER(E161)),IF(ABS(E161-D161)&lt;=1E-6*MAX(1,ABS(D161)),"Yes","No"),IF(D161=E161,"Yes","No")))</f>
        <v/>
      </c>
    </row>
    <row r="162">
      <c r="A162" s="5" t="inlineStr">
        <is>
          <t>Sensitivity</t>
        </is>
      </c>
      <c r="B162" s="5" t="inlineStr">
        <is>
          <t>entry_acv_share high</t>
        </is>
      </c>
      <c r="D162" s="52" t="n">
        <v>5039840.933114798</v>
      </c>
      <c r="E162" s="53">
        <f>Sensitivity!T8</f>
        <v/>
      </c>
      <c r="F162" s="54">
        <f>IF(AND(ISNUMBER(D162),ISNUMBER(E162)),E162-D162,"")</f>
        <v/>
      </c>
      <c r="G162" s="5">
        <f>IF(AND(D162="",E162=""),"Yes",IF(AND(ISNUMBER(D162),ISNUMBER(E162)),IF(ABS(E162-D162)&lt;=1E-6*MAX(1,ABS(D162)),"Yes","No"),IF(D162=E162,"Yes","No")))</f>
        <v/>
      </c>
    </row>
    <row r="163">
      <c r="A163" s="5" t="inlineStr">
        <is>
          <t>Sensitivity</t>
        </is>
      </c>
      <c r="B163" s="5" t="inlineStr">
        <is>
          <t>eligible_share low</t>
        </is>
      </c>
      <c r="D163" s="52" t="n">
        <v>923750.5589665666</v>
      </c>
      <c r="E163" s="53">
        <f>Sensitivity!T9</f>
        <v/>
      </c>
      <c r="F163" s="54">
        <f>IF(AND(ISNUMBER(D163),ISNUMBER(E163)),E163-D163,"")</f>
        <v/>
      </c>
      <c r="G163" s="5">
        <f>IF(AND(D163="",E163=""),"Yes",IF(AND(ISNUMBER(D163),ISNUMBER(E163)),IF(ABS(E163-D163)&lt;=1E-6*MAX(1,ABS(D163)),"Yes","No"),IF(D163=E163,"Yes","No")))</f>
        <v/>
      </c>
    </row>
    <row r="164">
      <c r="A164" s="5" t="inlineStr">
        <is>
          <t>Sensitivity</t>
        </is>
      </c>
      <c r="B164" s="5" t="inlineStr">
        <is>
          <t>eligible_share high</t>
        </is>
      </c>
      <c r="D164" s="52" t="n">
        <v>4785911.326775357</v>
      </c>
      <c r="E164" s="53">
        <f>Sensitivity!T10</f>
        <v/>
      </c>
      <c r="F164" s="54">
        <f>IF(AND(ISNUMBER(D164),ISNUMBER(E164)),E164-D164,"")</f>
        <v/>
      </c>
      <c r="G164" s="5">
        <f>IF(AND(D164="",E164=""),"Yes",IF(AND(ISNUMBER(D164),ISNUMBER(E164)),IF(ABS(E164-D164)&lt;=1E-6*MAX(1,ABS(D164)),"Yes","No"),IF(D164=E164,"Yes","No")))</f>
        <v/>
      </c>
    </row>
    <row r="165">
      <c r="A165" s="5" t="inlineStr">
        <is>
          <t>Sensitivity</t>
        </is>
      </c>
      <c r="B165" s="5" t="inlineStr">
        <is>
          <t>upgrades_per_ae low</t>
        </is>
      </c>
      <c r="D165" s="52" t="n">
        <v>-474662.6686934633</v>
      </c>
      <c r="E165" s="53">
        <f>Sensitivity!T11</f>
        <v/>
      </c>
      <c r="F165" s="54">
        <f>IF(AND(ISNUMBER(D165),ISNUMBER(E165)),E165-D165,"")</f>
        <v/>
      </c>
      <c r="G165" s="5">
        <f>IF(AND(D165="",E165=""),"Yes",IF(AND(ISNUMBER(D165),ISNUMBER(E165)),IF(ABS(E165-D165)&lt;=1E-6*MAX(1,ABS(D165)),"Yes","No"),IF(D165=E165,"Yes","No")))</f>
        <v/>
      </c>
    </row>
    <row r="166">
      <c r="A166" s="5" t="inlineStr">
        <is>
          <t>Sensitivity</t>
        </is>
      </c>
      <c r="B166" s="5" t="inlineStr">
        <is>
          <t>upgrades_per_ae high</t>
        </is>
      </c>
      <c r="D166" s="52" t="n">
        <v>3106404.198323816</v>
      </c>
      <c r="E166" s="53">
        <f>Sensitivity!T12</f>
        <v/>
      </c>
      <c r="F166" s="54">
        <f>IF(AND(ISNUMBER(D166),ISNUMBER(E166)),E166-D166,"")</f>
        <v/>
      </c>
      <c r="G166" s="5">
        <f>IF(AND(D166="",E166=""),"Yes",IF(AND(ISNUMBER(D166),ISNUMBER(E166)),IF(ABS(E166-D166)&lt;=1E-6*MAX(1,ABS(D166)),"Yes","No"),IF(D166=E166,"Yes","No")))</f>
        <v/>
      </c>
    </row>
    <row r="167">
      <c r="A167" s="5" t="inlineStr">
        <is>
          <t>Sensitivity</t>
        </is>
      </c>
      <c r="B167" s="5" t="inlineStr">
        <is>
          <t>outreach_cost low</t>
        </is>
      </c>
      <c r="D167" s="52" t="n">
        <v>3052613.589758828</v>
      </c>
      <c r="E167" s="53">
        <f>Sensitivity!T13</f>
        <v/>
      </c>
      <c r="F167" s="54">
        <f>IF(AND(ISNUMBER(D167),ISNUMBER(E167)),E167-D167,"")</f>
        <v/>
      </c>
      <c r="G167" s="5">
        <f>IF(AND(D167="",E167=""),"Yes",IF(AND(ISNUMBER(D167),ISNUMBER(E167)),IF(ABS(E167-D167)&lt;=1E-6*MAX(1,ABS(D167)),"Yes","No"),IF(D167=E167,"Yes","No")))</f>
        <v/>
      </c>
    </row>
    <row r="168">
      <c r="A168" s="5" t="inlineStr">
        <is>
          <t>Sensitivity</t>
        </is>
      </c>
      <c r="B168" s="5" t="inlineStr">
        <is>
          <t>outreach_cost high</t>
        </is>
      </c>
      <c r="D168" s="52" t="n">
        <v>528185.2651908342</v>
      </c>
      <c r="E168" s="53">
        <f>Sensitivity!T14</f>
        <v/>
      </c>
      <c r="F168" s="54">
        <f>IF(AND(ISNUMBER(D168),ISNUMBER(E168)),E168-D168,"")</f>
        <v/>
      </c>
      <c r="G168" s="5">
        <f>IF(AND(D168="",E168=""),"Yes",IF(AND(ISNUMBER(D168),ISNUMBER(E168)),IF(ABS(E168-D168)&lt;=1E-6*MAX(1,ABS(D168)),"Yes","No"),IF(D168=E168,"Yes","No")))</f>
        <v/>
      </c>
    </row>
    <row r="169">
      <c r="A169" s="5" t="inlineStr">
        <is>
          <t>Sensitivity</t>
        </is>
      </c>
      <c r="B169" s="5" t="inlineStr">
        <is>
          <t>retention low</t>
        </is>
      </c>
      <c r="D169" s="52" t="n">
        <v>1297735.821699098</v>
      </c>
      <c r="E169" s="53">
        <f>Sensitivity!T15</f>
        <v/>
      </c>
      <c r="F169" s="54">
        <f>IF(AND(ISNUMBER(D169),ISNUMBER(E169)),E169-D169,"")</f>
        <v/>
      </c>
      <c r="G169" s="5">
        <f>IF(AND(D169="",E169=""),"Yes",IF(AND(ISNUMBER(D169),ISNUMBER(E169)),IF(ABS(E169-D169)&lt;=1E-6*MAX(1,ABS(D169)),"Yes","No"),IF(D169=E169,"Yes","No")))</f>
        <v/>
      </c>
    </row>
    <row r="170">
      <c r="A170" s="5" t="inlineStr">
        <is>
          <t>Sensitivity</t>
        </is>
      </c>
      <c r="B170" s="5" t="inlineStr">
        <is>
          <t>retention high</t>
        </is>
      </c>
      <c r="D170" s="52" t="n">
        <v>3197611.274229526</v>
      </c>
      <c r="E170" s="53">
        <f>Sensitivity!T16</f>
        <v/>
      </c>
      <c r="F170" s="54">
        <f>IF(AND(ISNUMBER(D170),ISNUMBER(E170)),E170-D170,"")</f>
        <v/>
      </c>
      <c r="G170" s="5">
        <f>IF(AND(D170="",E170=""),"Yes",IF(AND(ISNUMBER(D170),ISNUMBER(E170)),IF(ABS(E170-D170)&lt;=1E-6*MAX(1,ABS(D170)),"Yes","No"),IF(D170=E170,"Yes","No")))</f>
        <v/>
      </c>
    </row>
    <row r="171">
      <c r="A171" s="5" t="inlineStr">
        <is>
          <t>Sensitivity</t>
        </is>
      </c>
      <c r="B171" s="5" t="inlineStr">
        <is>
          <t>gross_margin low</t>
        </is>
      </c>
      <c r="D171" s="52" t="n">
        <v>1498980.947021036</v>
      </c>
      <c r="E171" s="53">
        <f>Sensitivity!T17</f>
        <v/>
      </c>
      <c r="F171" s="54">
        <f>IF(AND(ISNUMBER(D171),ISNUMBER(E171)),E171-D171,"")</f>
        <v/>
      </c>
      <c r="G171" s="5">
        <f>IF(AND(D171="",E171=""),"Yes",IF(AND(ISNUMBER(D171),ISNUMBER(E171)),IF(ABS(E171-D171)&lt;=1E-6*MAX(1,ABS(D171)),"Yes","No"),IF(D171=E171,"Yes","No")))</f>
        <v/>
      </c>
    </row>
    <row r="172">
      <c r="A172" s="5" t="inlineStr">
        <is>
          <t>Sensitivity</t>
        </is>
      </c>
      <c r="B172" s="5" t="inlineStr">
        <is>
          <t>gross_margin high</t>
        </is>
      </c>
      <c r="D172" s="52" t="n">
        <v>2567215.748843726</v>
      </c>
      <c r="E172" s="53">
        <f>Sensitivity!T18</f>
        <v/>
      </c>
      <c r="F172" s="54">
        <f>IF(AND(ISNUMBER(D172),ISNUMBER(E172)),E172-D172,"")</f>
        <v/>
      </c>
      <c r="G172" s="5">
        <f>IF(AND(D172="",E172=""),"Yes",IF(AND(ISNUMBER(D172),ISNUMBER(E172)),IF(ABS(E172-D172)&lt;=1E-6*MAX(1,ABS(D172)),"Yes","No"),IF(D172=E172,"Yes","No")))</f>
        <v/>
      </c>
    </row>
    <row r="173">
      <c r="A173" s="5" t="inlineStr">
        <is>
          <t>Test design</t>
        </is>
      </c>
      <c r="B173" s="5" t="inlineStr">
        <is>
          <t>90 days, two-sided per arm</t>
        </is>
      </c>
      <c r="D173" s="4" t="n">
        <v>26770</v>
      </c>
      <c r="E173" s="6">
        <f>'Test design'!I5</f>
        <v/>
      </c>
      <c r="F173" s="54">
        <f>IF(AND(ISNUMBER(D173),ISNUMBER(E173)),E173-D173,"")</f>
        <v/>
      </c>
      <c r="G173" s="5">
        <f>IF(AND(D173="",E173=""),"Yes",IF(AND(ISNUMBER(D173),ISNUMBER(E173)),IF(ABS(E173-D173)&lt;=1E-6*MAX(1,ABS(D173)),"Yes","No"),IF(D173=E173,"Yes","No")))</f>
        <v/>
      </c>
    </row>
    <row r="174">
      <c r="A174" s="5" t="inlineStr">
        <is>
          <t>Test design</t>
        </is>
      </c>
      <c r="B174" s="5" t="inlineStr">
        <is>
          <t>90 days, two-sided feasible</t>
        </is>
      </c>
      <c r="D174" s="4" t="inlineStr">
        <is>
          <t>No</t>
        </is>
      </c>
      <c r="E174" s="6">
        <f>'Test design'!L5</f>
        <v/>
      </c>
      <c r="F174" s="54">
        <f>IF(AND(ISNUMBER(D174),ISNUMBER(E174)),E174-D174,"")</f>
        <v/>
      </c>
      <c r="G174" s="5">
        <f>IF(AND(D174="",E174=""),"Yes",IF(AND(ISNUMBER(D174),ISNUMBER(E174)),IF(ABS(E174-D174)&lt;=1E-6*MAX(1,ABS(D174)),"Yes","No"),IF(D174=E174,"Yes","No")))</f>
        <v/>
      </c>
    </row>
    <row r="175">
      <c r="A175" s="5" t="inlineStr">
        <is>
          <t>Test design</t>
        </is>
      </c>
      <c r="B175" s="5" t="inlineStr">
        <is>
          <t>90 days, one-sided per arm</t>
        </is>
      </c>
      <c r="D175" s="4" t="n">
        <v>21087</v>
      </c>
      <c r="E175" s="6">
        <f>'Test design'!I6</f>
        <v/>
      </c>
      <c r="F175" s="54">
        <f>IF(AND(ISNUMBER(D175),ISNUMBER(E175)),E175-D175,"")</f>
        <v/>
      </c>
      <c r="G175" s="5">
        <f>IF(AND(D175="",E175=""),"Yes",IF(AND(ISNUMBER(D175),ISNUMBER(E175)),IF(ABS(E175-D175)&lt;=1E-6*MAX(1,ABS(D175)),"Yes","No"),IF(D175=E175,"Yes","No")))</f>
        <v/>
      </c>
    </row>
    <row r="176">
      <c r="A176" s="5" t="inlineStr">
        <is>
          <t>Test design</t>
        </is>
      </c>
      <c r="B176" s="5" t="inlineStr">
        <is>
          <t>90 days, one-sided feasible</t>
        </is>
      </c>
      <c r="D176" s="4" t="inlineStr">
        <is>
          <t>No</t>
        </is>
      </c>
      <c r="E176" s="6">
        <f>'Test design'!L6</f>
        <v/>
      </c>
      <c r="F176" s="54">
        <f>IF(AND(ISNUMBER(D176),ISNUMBER(E176)),E176-D176,"")</f>
        <v/>
      </c>
      <c r="G176" s="5">
        <f>IF(AND(D176="",E176=""),"Yes",IF(AND(ISNUMBER(D176),ISNUMBER(E176)),IF(ABS(E176-D176)&lt;=1E-6*MAX(1,ABS(D176)),"Yes","No"),IF(D176=E176,"Yes","No")))</f>
        <v/>
      </c>
    </row>
    <row r="177">
      <c r="A177" s="5" t="inlineStr">
        <is>
          <t>Test design</t>
        </is>
      </c>
      <c r="B177" s="5" t="inlineStr">
        <is>
          <t>180 days, one-sided per arm</t>
        </is>
      </c>
      <c r="D177" s="4" t="n">
        <v>10491</v>
      </c>
      <c r="E177" s="6">
        <f>'Test design'!I7</f>
        <v/>
      </c>
      <c r="F177" s="54">
        <f>IF(AND(ISNUMBER(D177),ISNUMBER(E177)),E177-D177,"")</f>
        <v/>
      </c>
      <c r="G177" s="5">
        <f>IF(AND(D177="",E177=""),"Yes",IF(AND(ISNUMBER(D177),ISNUMBER(E177)),IF(ABS(E177-D177)&lt;=1E-6*MAX(1,ABS(D177)),"Yes","No"),IF(D177=E177,"Yes","No")))</f>
        <v/>
      </c>
    </row>
    <row r="178">
      <c r="A178" s="5" t="inlineStr">
        <is>
          <t>Test design</t>
        </is>
      </c>
      <c r="B178" s="5" t="inlineStr">
        <is>
          <t>180 days, one-sided feasible</t>
        </is>
      </c>
      <c r="D178" s="4" t="inlineStr">
        <is>
          <t>Yes</t>
        </is>
      </c>
      <c r="E178" s="6">
        <f>'Test design'!L7</f>
        <v/>
      </c>
      <c r="F178" s="54">
        <f>IF(AND(ISNUMBER(D178),ISNUMBER(E178)),E178-D178,"")</f>
        <v/>
      </c>
      <c r="G178" s="5">
        <f>IF(AND(D178="",E178=""),"Yes",IF(AND(ISNUMBER(D178),ISNUMBER(E178)),IF(ABS(E178-D178)&lt;=1E-6*MAX(1,ABS(D178)),"Yes","No"),IF(D178=E178,"Yes","No")))</f>
        <v/>
      </c>
    </row>
    <row r="179">
      <c r="A179" s="5" t="inlineStr">
        <is>
          <t>Test design</t>
        </is>
      </c>
      <c r="B179" s="5" t="inlineStr">
        <is>
          <t>90 days, one-sided, eligibility doubled per arm</t>
        </is>
      </c>
      <c r="D179" s="4" t="n">
        <v>77065</v>
      </c>
      <c r="E179" s="6">
        <f>'Test design'!I8</f>
        <v/>
      </c>
      <c r="F179" s="54">
        <f>IF(AND(ISNUMBER(D179),ISNUMBER(E179)),E179-D179,"")</f>
        <v/>
      </c>
      <c r="G179" s="5">
        <f>IF(AND(D179="",E179=""),"Yes",IF(AND(ISNUMBER(D179),ISNUMBER(E179)),IF(ABS(E179-D179)&lt;=1E-6*MAX(1,ABS(D179)),"Yes","No"),IF(D179=E179,"Yes","No")))</f>
        <v/>
      </c>
    </row>
    <row r="180">
      <c r="A180" s="5" t="inlineStr">
        <is>
          <t>Test design</t>
        </is>
      </c>
      <c r="B180" s="5" t="inlineStr">
        <is>
          <t>90 days, one-sided, eligibility doubled feasible</t>
        </is>
      </c>
      <c r="D180" s="4" t="inlineStr">
        <is>
          <t>No</t>
        </is>
      </c>
      <c r="E180" s="6">
        <f>'Test design'!L8</f>
        <v/>
      </c>
      <c r="F180" s="54">
        <f>IF(AND(ISNUMBER(D180),ISNUMBER(E180)),E180-D180,"")</f>
        <v/>
      </c>
      <c r="G180" s="5">
        <f>IF(AND(D180="",E180=""),"Yes",IF(AND(ISNUMBER(D180),ISNUMBER(E180)),IF(ABS(E180-D180)&lt;=1E-6*MAX(1,ABS(D180)),"Yes","No"),IF(D180=E180,"Yes","No")))</f>
        <v/>
      </c>
    </row>
    <row r="181">
      <c r="A181" s="5" t="inlineStr">
        <is>
          <t>Test readout</t>
        </is>
      </c>
      <c r="B181" s="5" t="inlineStr">
        <is>
          <t>Upgrade rate, control</t>
        </is>
      </c>
      <c r="D181" s="52" t="n">
        <v>0.008122099250267762</v>
      </c>
      <c r="E181" s="53">
        <f>'Test readout'!B10</f>
        <v/>
      </c>
      <c r="F181" s="54">
        <f>IF(AND(ISNUMBER(D181),ISNUMBER(E181)),E181-D181,"")</f>
        <v/>
      </c>
      <c r="G181" s="5">
        <f>IF(AND(D181="",E181=""),"Yes",IF(AND(ISNUMBER(D181),ISNUMBER(E181)),IF(ABS(E181-D181)&lt;=1E-6*MAX(1,ABS(D181)),"Yes","No"),IF(D181=E181,"Yes","No")))</f>
        <v/>
      </c>
    </row>
    <row r="182">
      <c r="A182" s="5" t="inlineStr">
        <is>
          <t>Test readout</t>
        </is>
      </c>
      <c r="B182" s="5" t="inlineStr">
        <is>
          <t>Upgrade rate, treatment</t>
        </is>
      </c>
      <c r="D182" s="52" t="n">
        <v>0.01171393341553638</v>
      </c>
      <c r="E182" s="53">
        <f>'Test readout'!B11</f>
        <v/>
      </c>
      <c r="F182" s="54">
        <f>IF(AND(ISNUMBER(D182),ISNUMBER(E182)),E182-D182,"")</f>
        <v/>
      </c>
      <c r="G182" s="5">
        <f>IF(AND(D182="",E182=""),"Yes",IF(AND(ISNUMBER(D182),ISNUMBER(E182)),IF(ABS(E182-D182)&lt;=1E-6*MAX(1,ABS(D182)),"Yes","No"),IF(D182=E182,"Yes","No")))</f>
        <v/>
      </c>
    </row>
    <row r="183">
      <c r="A183" s="5" t="inlineStr">
        <is>
          <t>Test readout</t>
        </is>
      </c>
      <c r="B183" s="5" t="inlineStr">
        <is>
          <t>Difference</t>
        </is>
      </c>
      <c r="D183" s="52" t="n">
        <v>0.003591834165268613</v>
      </c>
      <c r="E183" s="53">
        <f>'Test readout'!B12</f>
        <v/>
      </c>
      <c r="F183" s="54">
        <f>IF(AND(ISNUMBER(D183),ISNUMBER(E183)),E183-D183,"")</f>
        <v/>
      </c>
      <c r="G183" s="5">
        <f>IF(AND(D183="",E183=""),"Yes",IF(AND(ISNUMBER(D183),ISNUMBER(E183)),IF(ABS(E183-D183)&lt;=1E-6*MAX(1,ABS(D183)),"Yes","No"),IF(D183=E183,"Yes","No")))</f>
        <v/>
      </c>
    </row>
    <row r="184">
      <c r="A184" s="5" t="inlineStr">
        <is>
          <t>Test readout</t>
        </is>
      </c>
      <c r="B184" s="5" t="inlineStr">
        <is>
          <t>Standard error</t>
        </is>
      </c>
      <c r="D184" s="52" t="n">
        <v>0.001318581182365817</v>
      </c>
      <c r="E184" s="53">
        <f>'Test readout'!B13</f>
        <v/>
      </c>
      <c r="F184" s="54">
        <f>IF(AND(ISNUMBER(D184),ISNUMBER(E184)),E184-D184,"")</f>
        <v/>
      </c>
      <c r="G184" s="5">
        <f>IF(AND(D184="",E184=""),"Yes",IF(AND(ISNUMBER(D184),ISNUMBER(E184)),IF(ABS(E184-D184)&lt;=1E-6*MAX(1,ABS(D184)),"Yes","No"),IF(D184=E184,"Yes","No")))</f>
        <v/>
      </c>
    </row>
    <row r="185">
      <c r="A185" s="5" t="inlineStr">
        <is>
          <t>Test readout</t>
        </is>
      </c>
      <c r="B185" s="5" t="inlineStr">
        <is>
          <t>One-sided 95% lower bound</t>
        </is>
      </c>
      <c r="D185" s="52" t="n">
        <v>0.00142296112502424</v>
      </c>
      <c r="E185" s="53">
        <f>'Test readout'!B14</f>
        <v/>
      </c>
      <c r="F185" s="54">
        <f>IF(AND(ISNUMBER(D185),ISNUMBER(E185)),E185-D185,"")</f>
        <v/>
      </c>
      <c r="G185" s="5">
        <f>IF(AND(D185="",E185=""),"Yes",IF(AND(ISNUMBER(D185),ISNUMBER(E185)),IF(ABS(E185-D185)&lt;=1E-6*MAX(1,ABS(D185)),"Yes","No"),IF(D185=E185,"Yes","No")))</f>
        <v/>
      </c>
    </row>
    <row r="186">
      <c r="A186" s="5" t="inlineStr">
        <is>
          <t>Test readout</t>
        </is>
      </c>
      <c r="B186" s="5" t="inlineStr">
        <is>
          <t>Break-even difference in the window</t>
        </is>
      </c>
      <c r="D186" s="52" t="n">
        <v>0.003361088692538798</v>
      </c>
      <c r="E186" s="53">
        <f>'Test readout'!B15</f>
        <v/>
      </c>
      <c r="F186" s="54">
        <f>IF(AND(ISNUMBER(D186),ISNUMBER(E186)),E186-D186,"")</f>
        <v/>
      </c>
      <c r="G186" s="5">
        <f>IF(AND(D186="",E186=""),"Yes",IF(AND(ISNUMBER(D186),ISNUMBER(E186)),IF(ABS(E186-D186)&lt;=1E-6*MAX(1,ABS(D186)),"Yes","No"),IF(D186=E186,"Yes","No")))</f>
        <v/>
      </c>
    </row>
    <row r="187">
      <c r="A187" s="5" t="inlineStr">
        <is>
          <t>Test readout</t>
        </is>
      </c>
      <c r="B187" s="5" t="inlineStr">
        <is>
          <t>Uplift per year, estimate</t>
        </is>
      </c>
      <c r="D187" s="52" t="n">
        <v>0.007283441501794687</v>
      </c>
      <c r="E187" s="53">
        <f>'Test readout'!B16</f>
        <v/>
      </c>
      <c r="F187" s="54">
        <f>IF(AND(ISNUMBER(D187),ISNUMBER(E187)),E187-D187,"")</f>
        <v/>
      </c>
      <c r="G187" s="5">
        <f>IF(AND(D187="",E187=""),"Yes",IF(AND(ISNUMBER(D187),ISNUMBER(E187)),IF(ABS(E187-D187)&lt;=1E-6*MAX(1,ABS(D187)),"Yes","No"),IF(D187=E187,"Yes","No")))</f>
        <v/>
      </c>
    </row>
    <row r="188">
      <c r="A188" s="5" t="inlineStr">
        <is>
          <t>Test readout</t>
        </is>
      </c>
      <c r="B188" s="5" t="inlineStr">
        <is>
          <t>Sample ratio check, p-value</t>
        </is>
      </c>
      <c r="D188" s="52" t="n">
        <v>0.3179334517142656</v>
      </c>
      <c r="E188" s="53">
        <f>'Test readout'!B17</f>
        <v/>
      </c>
      <c r="F188" s="54">
        <f>IF(AND(ISNUMBER(D188),ISNUMBER(E188)),E188-D188,"")</f>
        <v/>
      </c>
      <c r="G188" s="5">
        <f>IF(AND(D188="",E188=""),"Yes",IF(AND(ISNUMBER(D188),ISNUMBER(E188)),IF(ABS(E188-D188)&lt;=1E-6*MAX(1,ABS(D188)),"Yes","No"),IF(D188=E188,"Yes","No")))</f>
        <v/>
      </c>
    </row>
    <row r="189">
      <c r="A189" s="5" t="inlineStr">
        <is>
          <t>Test readout</t>
        </is>
      </c>
      <c r="B189" s="5" t="inlineStr">
        <is>
          <t>Cancellations, difference</t>
        </is>
      </c>
      <c r="D189" s="52" t="n">
        <v>-0.002189792681430554</v>
      </c>
      <c r="E189" s="53">
        <f>'Test readout'!B18</f>
        <v/>
      </c>
      <c r="F189" s="54">
        <f>IF(AND(ISNUMBER(D189),ISNUMBER(E189)),E189-D189,"")</f>
        <v/>
      </c>
      <c r="G189" s="5">
        <f>IF(AND(D189="",E189=""),"Yes",IF(AND(ISNUMBER(D189),ISNUMBER(E189)),IF(ABS(E189-D189)&lt;=1E-6*MAX(1,ABS(D189)),"Yes","No"),IF(D189=E189,"Yes","No")))</f>
        <v/>
      </c>
    </row>
    <row r="190">
      <c r="A190" s="5" t="inlineStr">
        <is>
          <t>Test readout</t>
        </is>
      </c>
      <c r="B190" s="5" t="inlineStr">
        <is>
          <t>Cancellations, upper bound</t>
        </is>
      </c>
      <c r="D190" s="52" t="n">
        <v>0.002929921397394245</v>
      </c>
      <c r="E190" s="53">
        <f>'Test readout'!B19</f>
        <v/>
      </c>
      <c r="F190" s="54">
        <f>IF(AND(ISNUMBER(D190),ISNUMBER(E190)),E190-D190,"")</f>
        <v/>
      </c>
      <c r="G190" s="5">
        <f>IF(AND(D190="",E190=""),"Yes",IF(AND(ISNUMBER(D190),ISNUMBER(E190)),IF(ABS(E190-D190)&lt;=1E-6*MAX(1,ABS(D190)),"Yes","No"),IF(D190=E190,"Yes","No")))</f>
        <v/>
      </c>
    </row>
    <row r="191">
      <c r="A191" s="5" t="inlineStr">
        <is>
          <t>Test readout</t>
        </is>
      </c>
      <c r="B191" s="5" t="inlineStr">
        <is>
          <t>Decision</t>
        </is>
      </c>
      <c r="D191" s="4" t="inlineStr">
        <is>
          <t>Scale: the uplift is real and above break-even</t>
        </is>
      </c>
      <c r="E191" s="6">
        <f>'Test readout'!B22</f>
        <v/>
      </c>
      <c r="F191" s="54">
        <f>IF(AND(ISNUMBER(D191),ISNUMBER(E191)),E191-D191,"")</f>
        <v/>
      </c>
      <c r="G191" s="5">
        <f>IF(AND(D191="",E191=""),"Yes",IF(AND(ISNUMBER(D191),ISNUMBER(E191)),IF(ABS(E191-D191)&lt;=1E-6*MAX(1,ABS(D191)),"Yes","No"),IF(D191=E191,"Yes","No")))</f>
        <v/>
      </c>
    </row>
    <row r="192">
      <c r="A192" s="5" t="inlineStr">
        <is>
          <t>Value of test</t>
        </is>
      </c>
      <c r="B192" s="5" t="inlineStr">
        <is>
          <t>Cost of the test</t>
        </is>
      </c>
      <c r="D192" s="52" t="n">
        <v>655634.5205479452</v>
      </c>
      <c r="E192" s="53">
        <f>'Value of test'!B5</f>
        <v/>
      </c>
      <c r="F192" s="54">
        <f>IF(AND(ISNUMBER(D192),ISNUMBER(E192)),E192-D192,"")</f>
        <v/>
      </c>
      <c r="G192" s="5">
        <f>IF(AND(D192="",E192=""),"Yes",IF(AND(ISNUMBER(D192),ISNUMBER(E192)),IF(ABS(E192-D192)&lt;=1E-6*MAX(1,ABS(D192)),"Yes","No"),IF(D192=E192,"Yes","No")))</f>
        <v/>
      </c>
    </row>
    <row r="193">
      <c r="A193" s="5" t="inlineStr">
        <is>
          <t>Value of test</t>
        </is>
      </c>
      <c r="B193" s="5" t="inlineStr">
        <is>
          <t>NPV at 0.000</t>
        </is>
      </c>
      <c r="D193" s="52" t="n">
        <v>-4732388.730277985</v>
      </c>
      <c r="E193" s="53">
        <f>'Value of test'!D9</f>
        <v/>
      </c>
      <c r="F193" s="54">
        <f>IF(AND(ISNUMBER(D193),ISNUMBER(E193)),E193-D193,"")</f>
        <v/>
      </c>
      <c r="G193" s="5">
        <f>IF(AND(D193="",E193=""),"Yes",IF(AND(ISNUMBER(D193),ISNUMBER(E193)),IF(ABS(E193-D193)&lt;=1E-6*MAX(1,ABS(D193)),"Yes","No"),IF(D193=E193,"Yes","No")))</f>
        <v/>
      </c>
    </row>
    <row r="194">
      <c r="A194" s="5" t="inlineStr">
        <is>
          <t>Value of test</t>
        </is>
      </c>
      <c r="B194" s="5" t="inlineStr">
        <is>
          <t>Test-first value at 0.000</t>
        </is>
      </c>
      <c r="D194" s="52" t="n">
        <v>-655634.5205479452</v>
      </c>
      <c r="E194" s="53">
        <f>'Value of test'!G9</f>
        <v/>
      </c>
      <c r="F194" s="54">
        <f>IF(AND(ISNUMBER(D194),ISNUMBER(E194)),E194-D194,"")</f>
        <v/>
      </c>
      <c r="G194" s="5">
        <f>IF(AND(D194="",E194=""),"Yes",IF(AND(ISNUMBER(D194),ISNUMBER(E194)),IF(ABS(E194-D194)&lt;=1E-6*MAX(1,ABS(D194)),"Yes","No"),IF(D194=E194,"Yes","No")))</f>
        <v/>
      </c>
    </row>
    <row r="195">
      <c r="A195" s="5" t="inlineStr">
        <is>
          <t>Value of test</t>
        </is>
      </c>
      <c r="B195" s="5" t="inlineStr">
        <is>
          <t>NPV at 0.004</t>
        </is>
      </c>
      <c r="D195" s="52" t="n">
        <v>-1954978.245538994</v>
      </c>
      <c r="E195" s="53">
        <f>'Value of test'!D10</f>
        <v/>
      </c>
      <c r="F195" s="54">
        <f>IF(AND(ISNUMBER(D195),ISNUMBER(E195)),E195-D195,"")</f>
        <v/>
      </c>
      <c r="G195" s="5">
        <f>IF(AND(D195="",E195=""),"Yes",IF(AND(ISNUMBER(D195),ISNUMBER(E195)),IF(ABS(E195-D195)&lt;=1E-6*MAX(1,ABS(D195)),"Yes","No"),IF(D195=E195,"Yes","No")))</f>
        <v/>
      </c>
    </row>
    <row r="196">
      <c r="A196" s="5" t="inlineStr">
        <is>
          <t>Value of test</t>
        </is>
      </c>
      <c r="B196" s="5" t="inlineStr">
        <is>
          <t>Test-first value at 0.004</t>
        </is>
      </c>
      <c r="D196" s="52" t="n">
        <v>-863132.2094457432</v>
      </c>
      <c r="E196" s="53">
        <f>'Value of test'!G10</f>
        <v/>
      </c>
      <c r="F196" s="54">
        <f>IF(AND(ISNUMBER(D196),ISNUMBER(E196)),E196-D196,"")</f>
        <v/>
      </c>
      <c r="G196" s="5">
        <f>IF(AND(D196="",E196=""),"Yes",IF(AND(ISNUMBER(D196),ISNUMBER(E196)),IF(ABS(E196-D196)&lt;=1E-6*MAX(1,ABS(D196)),"Yes","No"),IF(D196=E196,"Yes","No")))</f>
        <v/>
      </c>
    </row>
    <row r="197">
      <c r="A197" s="5" t="inlineStr">
        <is>
          <t>Value of test</t>
        </is>
      </c>
      <c r="B197" s="5" t="inlineStr">
        <is>
          <t>NPV at 0.007</t>
        </is>
      </c>
      <c r="D197" s="52" t="n">
        <v>128079.6180152516</v>
      </c>
      <c r="E197" s="53">
        <f>'Value of test'!D11</f>
        <v/>
      </c>
      <c r="F197" s="54">
        <f>IF(AND(ISNUMBER(D197),ISNUMBER(E197)),E197-D197,"")</f>
        <v/>
      </c>
      <c r="G197" s="5">
        <f>IF(AND(D197="",E197=""),"Yes",IF(AND(ISNUMBER(D197),ISNUMBER(E197)),IF(ABS(E197-D197)&lt;=1E-6*MAX(1,ABS(D197)),"Yes","No"),IF(D197=E197,"Yes","No")))</f>
        <v/>
      </c>
    </row>
    <row r="198">
      <c r="A198" s="5" t="inlineStr">
        <is>
          <t>Value of test</t>
        </is>
      </c>
      <c r="B198" s="5" t="inlineStr">
        <is>
          <t>Test-first value at 0.007</t>
        </is>
      </c>
      <c r="D198" s="52" t="n">
        <v>-394480.5042475903</v>
      </c>
      <c r="E198" s="53">
        <f>'Value of test'!G11</f>
        <v/>
      </c>
      <c r="F198" s="54">
        <f>IF(AND(ISNUMBER(D198),ISNUMBER(E198)),E198-D198,"")</f>
        <v/>
      </c>
      <c r="G198" s="5">
        <f>IF(AND(D198="",E198=""),"Yes",IF(AND(ISNUMBER(D198),ISNUMBER(E198)),IF(ABS(E198-D198)&lt;=1E-6*MAX(1,ABS(D198)),"Yes","No"),IF(D198=E198,"Yes","No")))</f>
        <v/>
      </c>
    </row>
    <row r="199">
      <c r="A199" s="5" t="inlineStr">
        <is>
          <t>Value of test</t>
        </is>
      </c>
      <c r="B199" s="5" t="inlineStr">
        <is>
          <t>NPV at 0.010</t>
        </is>
      </c>
      <c r="D199" s="52" t="n">
        <v>2211137.481569497</v>
      </c>
      <c r="E199" s="53">
        <f>'Value of test'!D12</f>
        <v/>
      </c>
      <c r="F199" s="54">
        <f>IF(AND(ISNUMBER(D199),ISNUMBER(E199)),E199-D199,"")</f>
        <v/>
      </c>
      <c r="G199" s="5">
        <f>IF(AND(D199="",E199=""),"Yes",IF(AND(ISNUMBER(D199),ISNUMBER(E199)),IF(ABS(E199-D199)&lt;=1E-6*MAX(1,ABS(D199)),"Yes","No"),IF(D199=E199,"Yes","No")))</f>
        <v/>
      </c>
    </row>
    <row r="200">
      <c r="A200" s="5" t="inlineStr">
        <is>
          <t>Value of test</t>
        </is>
      </c>
      <c r="B200" s="5" t="inlineStr">
        <is>
          <t>Test-first value at 0.010</t>
        </is>
      </c>
      <c r="D200" s="52" t="n">
        <v>1366928.00544777</v>
      </c>
      <c r="E200" s="53">
        <f>'Value of test'!G12</f>
        <v/>
      </c>
      <c r="F200" s="54">
        <f>IF(AND(ISNUMBER(D200),ISNUMBER(E200)),E200-D200,"")</f>
        <v/>
      </c>
      <c r="G200" s="5">
        <f>IF(AND(D200="",E200=""),"Yes",IF(AND(ISNUMBER(D200),ISNUMBER(E200)),IF(ABS(E200-D200)&lt;=1E-6*MAX(1,ABS(D200)),"Yes","No"),IF(D200=E200,"Yes","No")))</f>
        <v/>
      </c>
    </row>
    <row r="201">
      <c r="A201" s="5" t="inlineStr">
        <is>
          <t>Value of test</t>
        </is>
      </c>
      <c r="B201" s="5" t="inlineStr">
        <is>
          <t>NPV at 0.015</t>
        </is>
      </c>
      <c r="D201" s="52" t="n">
        <v>5682900.587493237</v>
      </c>
      <c r="E201" s="53">
        <f>'Value of test'!D13</f>
        <v/>
      </c>
      <c r="F201" s="54">
        <f>IF(AND(ISNUMBER(D201),ISNUMBER(E201)),E201-D201,"")</f>
        <v/>
      </c>
      <c r="G201" s="5">
        <f>IF(AND(D201="",E201=""),"Yes",IF(AND(ISNUMBER(D201),ISNUMBER(E201)),IF(ABS(E201-D201)&lt;=1E-6*MAX(1,ABS(D201)),"Yes","No"),IF(D201=E201,"Yes","No")))</f>
        <v/>
      </c>
    </row>
    <row r="202">
      <c r="A202" s="5" t="inlineStr">
        <is>
          <t>Value of test</t>
        </is>
      </c>
      <c r="B202" s="5" t="inlineStr">
        <is>
          <t>Test-first value at 0.015</t>
        </is>
      </c>
      <c r="D202" s="52" t="n">
        <v>4767142.334947645</v>
      </c>
      <c r="E202" s="53">
        <f>'Value of test'!G13</f>
        <v/>
      </c>
      <c r="F202" s="54">
        <f>IF(AND(ISNUMBER(D202),ISNUMBER(E202)),E202-D202,"")</f>
        <v/>
      </c>
      <c r="G202" s="5">
        <f>IF(AND(D202="",E202=""),"Yes",IF(AND(ISNUMBER(D202),ISNUMBER(E202)),IF(ABS(E202-D202)&lt;=1E-6*MAX(1,ABS(D202)),"Yes","No"),IF(D202=E202,"Yes","No")))</f>
        <v/>
      </c>
    </row>
    <row r="203">
      <c r="A203" s="5" t="inlineStr">
        <is>
          <t>Value of test</t>
        </is>
      </c>
      <c r="B203" s="5" t="inlineStr">
        <is>
          <t>sceptical Launch now</t>
        </is>
      </c>
      <c r="D203" s="52" t="n">
        <v>-253814.3236363595</v>
      </c>
      <c r="E203" s="53">
        <f>'Value of test'!B16</f>
        <v/>
      </c>
      <c r="F203" s="54">
        <f>IF(AND(ISNUMBER(D203),ISNUMBER(E203)),E203-D203,"")</f>
        <v/>
      </c>
      <c r="G203" s="5">
        <f>IF(AND(D203="",E203=""),"Yes",IF(AND(ISNUMBER(D203),ISNUMBER(E203)),IF(ABS(E203-D203)&lt;=1E-6*MAX(1,ABS(D203)),"Yes","No"),IF(D203=E203,"Yes","No")))</f>
        <v/>
      </c>
    </row>
    <row r="204">
      <c r="A204" s="5" t="inlineStr">
        <is>
          <t>Value of test</t>
        </is>
      </c>
      <c r="B204" s="5" t="inlineStr">
        <is>
          <t>optimistic Launch now</t>
        </is>
      </c>
      <c r="D204" s="52" t="n">
        <v>1725090.646740173</v>
      </c>
      <c r="E204" s="53">
        <f>'Value of test'!C16</f>
        <v/>
      </c>
      <c r="F204" s="54">
        <f>IF(AND(ISNUMBER(D204),ISNUMBER(E204)),E204-D204,"")</f>
        <v/>
      </c>
      <c r="G204" s="5">
        <f>IF(AND(D204="",E204=""),"Yes",IF(AND(ISNUMBER(D204),ISNUMBER(E204)),IF(ABS(E204-D204)&lt;=1E-6*MAX(1,ABS(D204)),"Yes","No"),IF(D204=E204,"Yes","No")))</f>
        <v/>
      </c>
    </row>
    <row r="205">
      <c r="A205" s="5" t="inlineStr">
        <is>
          <t>Value of test</t>
        </is>
      </c>
      <c r="B205" s="5" t="inlineStr">
        <is>
          <t>sceptical Do nothing</t>
        </is>
      </c>
      <c r="D205" s="52" t="n">
        <v>0</v>
      </c>
      <c r="E205" s="53">
        <f>'Value of test'!B17</f>
        <v/>
      </c>
      <c r="F205" s="54">
        <f>IF(AND(ISNUMBER(D205),ISNUMBER(E205)),E205-D205,"")</f>
        <v/>
      </c>
      <c r="G205" s="5">
        <f>IF(AND(D205="",E205=""),"Yes",IF(AND(ISNUMBER(D205),ISNUMBER(E205)),IF(ABS(E205-D205)&lt;=1E-6*MAX(1,ABS(D205)),"Yes","No"),IF(D205=E205,"Yes","No")))</f>
        <v/>
      </c>
    </row>
    <row r="206">
      <c r="A206" s="5" t="inlineStr">
        <is>
          <t>Value of test</t>
        </is>
      </c>
      <c r="B206" s="5" t="inlineStr">
        <is>
          <t>optimistic Do nothing</t>
        </is>
      </c>
      <c r="D206" s="52" t="n">
        <v>0</v>
      </c>
      <c r="E206" s="53">
        <f>'Value of test'!C17</f>
        <v/>
      </c>
      <c r="F206" s="54">
        <f>IF(AND(ISNUMBER(D206),ISNUMBER(E206)),E206-D206,"")</f>
        <v/>
      </c>
      <c r="G206" s="5">
        <f>IF(AND(D206="",E206=""),"Yes",IF(AND(ISNUMBER(D206),ISNUMBER(E206)),IF(ABS(E206-D206)&lt;=1E-6*MAX(1,ABS(D206)),"Yes","No"),IF(D206=E206,"Yes","No")))</f>
        <v/>
      </c>
    </row>
    <row r="207">
      <c r="A207" s="5" t="inlineStr">
        <is>
          <t>Value of test</t>
        </is>
      </c>
      <c r="B207" s="5" t="inlineStr">
        <is>
          <t>sceptical Test first, then follow the rule</t>
        </is>
      </c>
      <c r="D207" s="52" t="n">
        <v>573025.7784560476</v>
      </c>
      <c r="E207" s="53">
        <f>'Value of test'!B18</f>
        <v/>
      </c>
      <c r="F207" s="54">
        <f>IF(AND(ISNUMBER(D207),ISNUMBER(E207)),E207-D207,"")</f>
        <v/>
      </c>
      <c r="G207" s="5">
        <f>IF(AND(D207="",E207=""),"Yes",IF(AND(ISNUMBER(D207),ISNUMBER(E207)),IF(ABS(E207-D207)&lt;=1E-6*MAX(1,ABS(D207)),"Yes","No"),IF(D207=E207,"Yes","No")))</f>
        <v/>
      </c>
    </row>
    <row r="208">
      <c r="A208" s="5" t="inlineStr">
        <is>
          <t>Value of test</t>
        </is>
      </c>
      <c r="B208" s="5" t="inlineStr">
        <is>
          <t>optimistic Test first, then follow the rule</t>
        </is>
      </c>
      <c r="D208" s="52" t="n">
        <v>1609448.328269738</v>
      </c>
      <c r="E208" s="53">
        <f>'Value of test'!C18</f>
        <v/>
      </c>
      <c r="F208" s="54">
        <f>IF(AND(ISNUMBER(D208),ISNUMBER(E208)),E208-D208,"")</f>
        <v/>
      </c>
      <c r="G208" s="5">
        <f>IF(AND(D208="",E208=""),"Yes",IF(AND(ISNUMBER(D208),ISNUMBER(E208)),IF(ABS(E208-D208)&lt;=1E-6*MAX(1,ABS(D208)),"Yes","No"),IF(D208=E208,"Yes","No")))</f>
        <v/>
      </c>
    </row>
    <row r="209">
      <c r="A209" s="5" t="inlineStr">
        <is>
          <t>Value of test</t>
        </is>
      </c>
      <c r="B209" s="5" t="inlineStr">
        <is>
          <t>sceptical Value of perfect information</t>
        </is>
      </c>
      <c r="D209" s="52" t="n">
        <v>1320278.508040935</v>
      </c>
      <c r="E209" s="53">
        <f>'Value of test'!B19</f>
        <v/>
      </c>
      <c r="F209" s="54">
        <f>IF(AND(ISNUMBER(D209),ISNUMBER(E209)),E209-D209,"")</f>
        <v/>
      </c>
      <c r="G209" s="5">
        <f>IF(AND(D209="",E209=""),"Yes",IF(AND(ISNUMBER(D209),ISNUMBER(E209)),IF(ABS(E209-D209)&lt;=1E-6*MAX(1,ABS(D209)),"Yes","No"),IF(D209=E209,"Yes","No")))</f>
        <v/>
      </c>
    </row>
    <row r="210">
      <c r="A210" s="5" t="inlineStr">
        <is>
          <t>Value of test</t>
        </is>
      </c>
      <c r="B210" s="5" t="inlineStr">
        <is>
          <t>optimistic Value of perfect information</t>
        </is>
      </c>
      <c r="D210" s="52" t="n">
        <v>668736.6975816977</v>
      </c>
      <c r="E210" s="53">
        <f>'Value of test'!C19</f>
        <v/>
      </c>
      <c r="F210" s="54">
        <f>IF(AND(ISNUMBER(D210),ISNUMBER(E210)),E210-D210,"")</f>
        <v/>
      </c>
      <c r="G210" s="5">
        <f>IF(AND(D210="",E210=""),"Yes",IF(AND(ISNUMBER(D210),ISNUMBER(E210)),IF(ABS(E210-D210)&lt;=1E-6*MAX(1,ABS(D210)),"Yes","No"),IF(D210=E210,"Yes","No")))</f>
        <v/>
      </c>
    </row>
    <row r="211">
      <c r="A211" s="5" t="inlineStr">
        <is>
          <t>Value of test</t>
        </is>
      </c>
      <c r="B211" s="5" t="inlineStr">
        <is>
          <t>sceptical value of running the test</t>
        </is>
      </c>
      <c r="D211" s="52" t="n">
        <v>573025.7784560476</v>
      </c>
      <c r="E211" s="53">
        <f>'Value of test'!B20</f>
        <v/>
      </c>
      <c r="F211" s="54">
        <f>IF(AND(ISNUMBER(D211),ISNUMBER(E211)),E211-D211,"")</f>
        <v/>
      </c>
      <c r="G211" s="5">
        <f>IF(AND(D211="",E211=""),"Yes",IF(AND(ISNUMBER(D211),ISNUMBER(E211)),IF(ABS(E211-D211)&lt;=1E-6*MAX(1,ABS(D211)),"Yes","No"),IF(D211=E211,"Yes","No")))</f>
        <v/>
      </c>
    </row>
    <row r="212">
      <c r="A212" s="5" t="inlineStr">
        <is>
          <t>Value of test</t>
        </is>
      </c>
      <c r="B212" s="5" t="inlineStr">
        <is>
          <t>sceptical best option</t>
        </is>
      </c>
      <c r="D212" s="4" t="inlineStr">
        <is>
          <t>Test first</t>
        </is>
      </c>
      <c r="E212" s="6">
        <f>'Value of test'!B21</f>
        <v/>
      </c>
      <c r="F212" s="54">
        <f>IF(AND(ISNUMBER(D212),ISNUMBER(E212)),E212-D212,"")</f>
        <v/>
      </c>
      <c r="G212" s="5">
        <f>IF(AND(D212="",E212=""),"Yes",IF(AND(ISNUMBER(D212),ISNUMBER(E212)),IF(ABS(E212-D212)&lt;=1E-6*MAX(1,ABS(D212)),"Yes","No"),IF(D212=E212,"Yes","No")))</f>
        <v/>
      </c>
    </row>
    <row r="213">
      <c r="A213" s="5" t="inlineStr">
        <is>
          <t>Value of test</t>
        </is>
      </c>
      <c r="B213" s="5" t="inlineStr">
        <is>
          <t>optimistic value of running the test</t>
        </is>
      </c>
      <c r="D213" s="52" t="n">
        <v>-115642.318470435</v>
      </c>
      <c r="E213" s="53">
        <f>'Value of test'!C20</f>
        <v/>
      </c>
      <c r="F213" s="54">
        <f>IF(AND(ISNUMBER(D213),ISNUMBER(E213)),E213-D213,"")</f>
        <v/>
      </c>
      <c r="G213" s="5">
        <f>IF(AND(D213="",E213=""),"Yes",IF(AND(ISNUMBER(D213),ISNUMBER(E213)),IF(ABS(E213-D213)&lt;=1E-6*MAX(1,ABS(D213)),"Yes","No"),IF(D213=E213,"Yes","No")))</f>
        <v/>
      </c>
    </row>
    <row r="214">
      <c r="A214" s="5" t="inlineStr">
        <is>
          <t>Value of test</t>
        </is>
      </c>
      <c r="B214" s="5" t="inlineStr">
        <is>
          <t>optimistic best option</t>
        </is>
      </c>
      <c r="D214" s="4" t="inlineStr">
        <is>
          <t>Launch now</t>
        </is>
      </c>
      <c r="E214" s="6">
        <f>'Value of test'!C21</f>
        <v/>
      </c>
      <c r="F214" s="54">
        <f>IF(AND(ISNUMBER(D214),ISNUMBER(E214)),E214-D214,"")</f>
        <v/>
      </c>
      <c r="G214" s="5">
        <f>IF(AND(D214="",E214=""),"Yes",IF(AND(ISNUMBER(D214),ISNUMBER(E214)),IF(ABS(E214-D214)&lt;=1E-6*MAX(1,ABS(D214)),"Yes","No"),IF(D214=E214,"Yes","No")))</f>
        <v/>
      </c>
    </row>
    <row r="215">
      <c r="A215" s="5" t="inlineStr">
        <is>
          <t>Summary</t>
        </is>
      </c>
      <c r="B215" s="5" t="inlineStr">
        <is>
          <t>Smallest feasible test</t>
        </is>
      </c>
      <c r="D215" s="4" t="inlineStr">
        <is>
          <t>180 days, one-sided</t>
        </is>
      </c>
      <c r="E215" s="6">
        <f>Summary!B10</f>
        <v/>
      </c>
      <c r="F215" s="54">
        <f>IF(AND(ISNUMBER(D215),ISNUMBER(E215)),E215-D215,"")</f>
        <v/>
      </c>
      <c r="G215" s="5">
        <f>IF(AND(D215="",E215=""),"Yes",IF(AND(ISNUMBER(D215),ISNUMBER(E215)),IF(ABS(E215-D215)&lt;=1E-6*MAX(1,ABS(D215)),"Yes","No"),IF(D215=E215,"Yes","No")))</f>
        <v/>
      </c>
    </row>
  </sheetData>
  <conditionalFormatting sqref="G7:G215">
    <cfRule type="cellIs" priority="1" operator="equal" dxfId="1">
      <formula>"Yes"</formula>
    </cfRule>
    <cfRule type="cellIs" priority="2" operator="equal" dxfId="0">
      <formula>"No"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Domenico Perroni</dc:creator>
  <dc:title xmlns:dc="http://purl.org/dc/elements/1.1/">Vimeo: the Self-Serve to Enterprise upgrade case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